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 2020\LMDA\2022\"/>
    </mc:Choice>
  </mc:AlternateContent>
  <xr:revisionPtr revIDLastSave="0" documentId="13_ncr:1_{86CEADF1-6587-445F-89D1-D4375D210A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ini kids" sheetId="5" r:id="rId1"/>
    <sheet name="Children female" sheetId="1" r:id="rId2"/>
    <sheet name="Children male" sheetId="2" r:id="rId3"/>
    <sheet name="Juniors female" sheetId="3" r:id="rId4"/>
    <sheet name="Juniors male" sheetId="4" r:id="rId5"/>
    <sheet name="Adults female" sheetId="6" r:id="rId6"/>
    <sheet name="Adults male" sheetId="8" r:id="rId7"/>
  </sheets>
  <definedNames>
    <definedName name="_xlnm._FilterDatabase" localSheetId="5" hidden="1">'Adults female'!$B$1:$B$136</definedName>
    <definedName name="_xlnm._FilterDatabase" localSheetId="1" hidden="1">'Children female'!$B$1:$B$322</definedName>
    <definedName name="_xlnm._FilterDatabase" localSheetId="3" hidden="1">'Juniors female'!$B$1:$B$328</definedName>
    <definedName name="_xlnm._FilterDatabase" localSheetId="0" hidden="1">'Mini kids'!$B$1:$B$47</definedName>
  </definedNames>
  <calcPr calcId="181029"/>
</workbook>
</file>

<file path=xl/calcChain.xml><?xml version="1.0" encoding="utf-8"?>
<calcChain xmlns="http://schemas.openxmlformats.org/spreadsheetml/2006/main">
  <c r="D7" i="8" l="1"/>
  <c r="D9" i="8"/>
  <c r="D10" i="8"/>
  <c r="D11" i="8"/>
  <c r="D12" i="8"/>
  <c r="D13" i="8"/>
  <c r="D14" i="8"/>
  <c r="D15" i="8"/>
  <c r="D17" i="8"/>
  <c r="D18" i="8"/>
  <c r="D6" i="8"/>
  <c r="D127" i="6"/>
  <c r="D31" i="4"/>
  <c r="H188" i="3"/>
  <c r="H162" i="3"/>
  <c r="H118" i="3"/>
  <c r="H74" i="3"/>
  <c r="H34" i="3"/>
  <c r="H19" i="3"/>
  <c r="H11" i="3"/>
  <c r="H8" i="3"/>
  <c r="E8" i="3"/>
  <c r="E11" i="3"/>
  <c r="E19" i="3"/>
  <c r="E84" i="6"/>
  <c r="E24" i="6"/>
  <c r="E9" i="6"/>
  <c r="E6" i="8"/>
  <c r="E12" i="8"/>
  <c r="E13" i="6"/>
  <c r="E14" i="6"/>
  <c r="E6" i="6"/>
  <c r="E41" i="6"/>
  <c r="E16" i="6"/>
  <c r="E7" i="6"/>
  <c r="H210" i="3"/>
  <c r="E8" i="6"/>
  <c r="E95" i="6"/>
  <c r="E116" i="6"/>
  <c r="E50" i="6"/>
  <c r="E23" i="6"/>
  <c r="E77" i="6"/>
  <c r="E75" i="6"/>
  <c r="E105" i="6"/>
  <c r="E99" i="6"/>
  <c r="E10" i="6"/>
  <c r="E272" i="3"/>
  <c r="D272" i="3" s="1"/>
  <c r="E304" i="3"/>
  <c r="D304" i="3" s="1"/>
  <c r="E266" i="3"/>
  <c r="D266" i="3" s="1"/>
  <c r="E281" i="3"/>
  <c r="D281" i="3" s="1"/>
  <c r="E325" i="3"/>
  <c r="E311" i="3"/>
  <c r="D311" i="3" s="1"/>
  <c r="E326" i="3"/>
  <c r="D326" i="3" s="1"/>
  <c r="E268" i="3"/>
  <c r="D268" i="3" s="1"/>
  <c r="E321" i="3"/>
  <c r="D321" i="3" s="1"/>
  <c r="E79" i="3"/>
  <c r="E317" i="3"/>
  <c r="D317" i="3" s="1"/>
  <c r="E302" i="3"/>
  <c r="D302" i="3" s="1"/>
  <c r="E320" i="3"/>
  <c r="D320" i="3" s="1"/>
  <c r="E327" i="3"/>
  <c r="E213" i="3"/>
  <c r="E89" i="3"/>
  <c r="E262" i="3"/>
  <c r="D262" i="3" s="1"/>
  <c r="H17" i="3"/>
  <c r="H249" i="3"/>
  <c r="E20" i="3"/>
  <c r="H14" i="3"/>
  <c r="H6" i="3"/>
  <c r="E14" i="3"/>
  <c r="E6" i="3"/>
  <c r="E297" i="3"/>
  <c r="E184" i="3"/>
  <c r="E245" i="3"/>
  <c r="E95" i="3"/>
  <c r="E116" i="3"/>
  <c r="E102" i="3"/>
  <c r="E164" i="3"/>
  <c r="E193" i="3"/>
  <c r="E192" i="3"/>
  <c r="E318" i="3"/>
  <c r="E203" i="3"/>
  <c r="E201" i="3"/>
  <c r="E15" i="3"/>
  <c r="E113" i="3"/>
  <c r="E14" i="2"/>
  <c r="E136" i="1"/>
  <c r="E29" i="1"/>
  <c r="E87" i="1"/>
  <c r="E86" i="1"/>
  <c r="E85" i="1"/>
  <c r="E237" i="1"/>
  <c r="E260" i="1"/>
  <c r="E19" i="1"/>
  <c r="E78" i="1"/>
  <c r="E57" i="1"/>
  <c r="E26" i="1"/>
  <c r="E251" i="1"/>
  <c r="E101" i="1"/>
  <c r="E258" i="1"/>
  <c r="E158" i="1"/>
  <c r="E27" i="1"/>
  <c r="E261" i="1"/>
  <c r="E306" i="1"/>
  <c r="E207" i="1"/>
  <c r="E193" i="1"/>
  <c r="E17" i="1"/>
  <c r="E272" i="1"/>
  <c r="E273" i="1"/>
  <c r="E68" i="1"/>
  <c r="E186" i="1"/>
  <c r="E20" i="1"/>
  <c r="E152" i="1"/>
  <c r="E137" i="1"/>
  <c r="E307" i="1"/>
  <c r="E305" i="1"/>
  <c r="E232" i="1"/>
  <c r="E22" i="1"/>
  <c r="E48" i="1"/>
  <c r="E45" i="1"/>
  <c r="E28" i="1"/>
  <c r="E25" i="1"/>
  <c r="E24" i="1"/>
  <c r="E23" i="1"/>
  <c r="E18" i="1"/>
  <c r="E13" i="1"/>
  <c r="E12" i="1"/>
  <c r="E11" i="1"/>
  <c r="E9" i="1"/>
  <c r="E8" i="1"/>
  <c r="E19" i="2"/>
  <c r="E6" i="2"/>
  <c r="E31" i="4"/>
  <c r="E283" i="3"/>
  <c r="E316" i="3"/>
  <c r="E284" i="3"/>
  <c r="E299" i="3"/>
  <c r="D32" i="2"/>
  <c r="E31" i="2"/>
  <c r="E33" i="2"/>
  <c r="E217" i="1"/>
  <c r="E265" i="1"/>
  <c r="E206" i="1"/>
  <c r="E267" i="1"/>
  <c r="E130" i="1"/>
  <c r="E182" i="1"/>
  <c r="E268" i="1"/>
  <c r="E240" i="1"/>
  <c r="E228" i="1"/>
  <c r="E223" i="1"/>
  <c r="E34" i="5"/>
  <c r="E15" i="5"/>
  <c r="E41" i="5"/>
  <c r="E26" i="5"/>
  <c r="E39" i="5"/>
  <c r="E49" i="5"/>
  <c r="E35" i="5"/>
  <c r="E232" i="3"/>
  <c r="H21" i="1"/>
  <c r="H37" i="1"/>
  <c r="E78" i="3"/>
  <c r="H235" i="1"/>
  <c r="E282" i="3"/>
  <c r="D282" i="3" s="1"/>
  <c r="E290" i="3"/>
  <c r="E295" i="3"/>
  <c r="E285" i="3"/>
  <c r="E123" i="1"/>
  <c r="E36" i="1"/>
  <c r="E190" i="1"/>
  <c r="E245" i="1"/>
  <c r="E287" i="1"/>
  <c r="E134" i="1"/>
  <c r="E281" i="1"/>
  <c r="D281" i="1" s="1"/>
  <c r="E289" i="1"/>
  <c r="D289" i="1" s="1"/>
  <c r="E294" i="1"/>
  <c r="D294" i="1" s="1"/>
  <c r="E300" i="1"/>
  <c r="E234" i="1"/>
  <c r="E226" i="1"/>
  <c r="D226" i="1" s="1"/>
  <c r="E316" i="1"/>
  <c r="D316" i="1" s="1"/>
  <c r="E20" i="2"/>
  <c r="E241" i="1"/>
  <c r="D241" i="1" s="1"/>
  <c r="E299" i="1"/>
  <c r="D299" i="1" s="1"/>
  <c r="E224" i="1"/>
  <c r="D224" i="1" s="1"/>
  <c r="E256" i="1"/>
  <c r="D256" i="1" s="1"/>
  <c r="E288" i="1"/>
  <c r="D288" i="1" s="1"/>
  <c r="E32" i="5"/>
  <c r="E12" i="5"/>
  <c r="E46" i="5"/>
  <c r="E22" i="5"/>
  <c r="E17" i="3"/>
  <c r="E210" i="3"/>
  <c r="E7" i="3"/>
  <c r="E58" i="3"/>
  <c r="E190" i="3"/>
  <c r="E34" i="3"/>
  <c r="E118" i="3"/>
  <c r="E162" i="3"/>
  <c r="E249" i="3"/>
  <c r="E74" i="3"/>
  <c r="E246" i="3"/>
  <c r="E287" i="3"/>
  <c r="D287" i="3" s="1"/>
  <c r="E300" i="3"/>
  <c r="D300" i="3" s="1"/>
  <c r="E294" i="3"/>
  <c r="D294" i="3" s="1"/>
  <c r="E319" i="3"/>
  <c r="D319" i="3" s="1"/>
  <c r="E274" i="3"/>
  <c r="D274" i="3" s="1"/>
  <c r="E301" i="3"/>
  <c r="E288" i="3"/>
  <c r="E8" i="2"/>
  <c r="E30" i="1"/>
  <c r="E21" i="1"/>
  <c r="E14" i="1"/>
  <c r="E145" i="1"/>
  <c r="E76" i="1"/>
  <c r="E135" i="1"/>
  <c r="E52" i="1"/>
  <c r="E174" i="1"/>
  <c r="E89" i="1"/>
  <c r="E210" i="1"/>
  <c r="E37" i="1"/>
  <c r="E72" i="1"/>
  <c r="E90" i="1"/>
  <c r="E37" i="2"/>
  <c r="E36" i="2"/>
  <c r="E34" i="2"/>
  <c r="E32" i="2"/>
  <c r="E35" i="2"/>
  <c r="D35" i="2" s="1"/>
  <c r="E322" i="1"/>
  <c r="D322" i="1" s="1"/>
  <c r="E321" i="1"/>
  <c r="D321" i="1" s="1"/>
  <c r="E303" i="1"/>
  <c r="D303" i="1" s="1"/>
  <c r="E285" i="1"/>
  <c r="E312" i="1"/>
  <c r="E266" i="1"/>
  <c r="D266" i="1" s="1"/>
  <c r="E259" i="1"/>
  <c r="E231" i="1"/>
  <c r="D231" i="1" s="1"/>
  <c r="E298" i="1"/>
  <c r="E284" i="1"/>
  <c r="E296" i="1"/>
  <c r="E320" i="1"/>
  <c r="D320" i="1" s="1"/>
  <c r="E302" i="1"/>
  <c r="E262" i="1"/>
  <c r="E276" i="1"/>
  <c r="E242" i="1"/>
  <c r="D242" i="1" s="1"/>
  <c r="E247" i="1"/>
  <c r="D247" i="1" s="1"/>
  <c r="E297" i="1"/>
  <c r="D297" i="1" s="1"/>
  <c r="E274" i="1"/>
  <c r="E286" i="1"/>
  <c r="D286" i="1" s="1"/>
  <c r="E212" i="1"/>
  <c r="E221" i="1"/>
  <c r="E310" i="1"/>
  <c r="D310" i="1" s="1"/>
  <c r="E275" i="1"/>
  <c r="E230" i="1"/>
  <c r="E249" i="1"/>
  <c r="D249" i="1" s="1"/>
  <c r="E24" i="5"/>
  <c r="E11" i="5"/>
  <c r="E44" i="5"/>
  <c r="D44" i="5" s="1"/>
  <c r="E222" i="1"/>
  <c r="D222" i="1" s="1"/>
  <c r="E277" i="1"/>
  <c r="D277" i="1" s="1"/>
  <c r="D46" i="5"/>
  <c r="E45" i="5"/>
  <c r="D45" i="5" s="1"/>
  <c r="E43" i="5"/>
  <c r="E23" i="5"/>
  <c r="E48" i="5"/>
  <c r="E30" i="5"/>
  <c r="F63" i="6"/>
  <c r="F101" i="6"/>
  <c r="F325" i="3"/>
  <c r="H158" i="3"/>
  <c r="F131" i="6"/>
  <c r="F11" i="6"/>
  <c r="F229" i="3"/>
  <c r="F140" i="3"/>
  <c r="F85" i="6"/>
  <c r="F165" i="3"/>
  <c r="H15" i="4"/>
  <c r="F132" i="6"/>
  <c r="F277" i="3"/>
  <c r="H16" i="3"/>
  <c r="F133" i="6"/>
  <c r="F74" i="3"/>
  <c r="F162" i="3"/>
  <c r="F118" i="3"/>
  <c r="F188" i="3"/>
  <c r="F34" i="3"/>
  <c r="F19" i="3"/>
  <c r="F9" i="3"/>
  <c r="F84" i="6"/>
  <c r="F24" i="6"/>
  <c r="F9" i="6"/>
  <c r="F95" i="6"/>
  <c r="F116" i="6"/>
  <c r="F50" i="6"/>
  <c r="F23" i="6"/>
  <c r="F77" i="6"/>
  <c r="F75" i="6"/>
  <c r="F25" i="6"/>
  <c r="F105" i="6"/>
  <c r="F99" i="6"/>
  <c r="F10" i="6"/>
  <c r="F17" i="3"/>
  <c r="F249" i="3"/>
  <c r="F20" i="3"/>
  <c r="F14" i="3"/>
  <c r="F6" i="3"/>
  <c r="F6" i="6"/>
  <c r="F14" i="6"/>
  <c r="F12" i="8"/>
  <c r="F13" i="6"/>
  <c r="F16" i="6"/>
  <c r="F7" i="6"/>
  <c r="F41" i="6"/>
  <c r="F8" i="6"/>
  <c r="F297" i="3"/>
  <c r="F184" i="3"/>
  <c r="F245" i="3"/>
  <c r="F95" i="3"/>
  <c r="F116" i="3"/>
  <c r="F102" i="3"/>
  <c r="F164" i="3"/>
  <c r="F192" i="3"/>
  <c r="F193" i="3"/>
  <c r="F248" i="3"/>
  <c r="F318" i="3"/>
  <c r="F203" i="3"/>
  <c r="F201" i="3"/>
  <c r="F15" i="3"/>
  <c r="F113" i="3"/>
  <c r="F309" i="1"/>
  <c r="D309" i="1" s="1"/>
  <c r="F304" i="1"/>
  <c r="D304" i="1" s="1"/>
  <c r="F218" i="1"/>
  <c r="D218" i="1" s="1"/>
  <c r="F292" i="1"/>
  <c r="D292" i="1" s="1"/>
  <c r="F315" i="1"/>
  <c r="F10" i="1"/>
  <c r="F219" i="1"/>
  <c r="D219" i="1" s="1"/>
  <c r="F263" i="1"/>
  <c r="D263" i="1" s="1"/>
  <c r="F14" i="2"/>
  <c r="F136" i="1"/>
  <c r="F29" i="1"/>
  <c r="F32" i="1"/>
  <c r="F169" i="1"/>
  <c r="F87" i="1"/>
  <c r="F86" i="1"/>
  <c r="F85" i="1"/>
  <c r="F237" i="1"/>
  <c r="F260" i="1"/>
  <c r="F19" i="1"/>
  <c r="F78" i="1"/>
  <c r="F57" i="1"/>
  <c r="F26" i="1"/>
  <c r="F19" i="2"/>
  <c r="F6" i="2"/>
  <c r="F307" i="1"/>
  <c r="F305" i="1"/>
  <c r="F232" i="1"/>
  <c r="F22" i="1"/>
  <c r="F45" i="1"/>
  <c r="F28" i="1"/>
  <c r="F25" i="1"/>
  <c r="F24" i="1"/>
  <c r="F23" i="1"/>
  <c r="F13" i="1"/>
  <c r="F11" i="1"/>
  <c r="F9" i="1"/>
  <c r="F8" i="1"/>
  <c r="F233" i="1"/>
  <c r="D233" i="1" s="1"/>
  <c r="F227" i="1"/>
  <c r="D227" i="1" s="1"/>
  <c r="F254" i="1"/>
  <c r="D254" i="1" s="1"/>
  <c r="F257" i="1"/>
  <c r="D257" i="1" s="1"/>
  <c r="F253" i="1"/>
  <c r="D253" i="1" s="1"/>
  <c r="F319" i="1"/>
  <c r="D319" i="1" s="1"/>
  <c r="F246" i="1"/>
  <c r="D246" i="1" s="1"/>
  <c r="F255" i="1"/>
  <c r="D255" i="1" s="1"/>
  <c r="F283" i="1"/>
  <c r="D283" i="1" s="1"/>
  <c r="F248" i="1"/>
  <c r="D248" i="1" s="1"/>
  <c r="F270" i="1"/>
  <c r="D270" i="1" s="1"/>
  <c r="F314" i="1"/>
  <c r="D314" i="1" s="1"/>
  <c r="F244" i="1"/>
  <c r="D244" i="1" s="1"/>
  <c r="F155" i="1"/>
  <c r="F220" i="1"/>
  <c r="D220" i="1" s="1"/>
  <c r="F204" i="1"/>
  <c r="F158" i="3"/>
  <c r="F15" i="4"/>
  <c r="F16" i="3"/>
  <c r="F130" i="6"/>
  <c r="D130" i="6" s="1"/>
  <c r="F212" i="3"/>
  <c r="F173" i="3"/>
  <c r="F81" i="6"/>
  <c r="F108" i="6"/>
  <c r="F23" i="4"/>
  <c r="F240" i="3"/>
  <c r="F135" i="3"/>
  <c r="F104" i="3"/>
  <c r="F86" i="3"/>
  <c r="F218" i="3"/>
  <c r="F110" i="3"/>
  <c r="F108" i="1"/>
  <c r="F177" i="1"/>
  <c r="F187" i="1"/>
  <c r="F122" i="1"/>
  <c r="F115" i="1"/>
  <c r="F156" i="1"/>
  <c r="F7" i="1"/>
  <c r="F101" i="1"/>
  <c r="F27" i="1"/>
  <c r="F193" i="1"/>
  <c r="F17" i="1"/>
  <c r="F68" i="1"/>
  <c r="F152" i="1"/>
  <c r="F20" i="1"/>
  <c r="F37" i="2"/>
  <c r="F287" i="1"/>
  <c r="F302" i="1"/>
  <c r="F276" i="1"/>
  <c r="F259" i="1"/>
  <c r="F234" i="1"/>
  <c r="F182" i="1"/>
  <c r="F268" i="1"/>
  <c r="F240" i="1"/>
  <c r="F228" i="1"/>
  <c r="F223" i="1"/>
  <c r="H65" i="3"/>
  <c r="F65" i="3"/>
  <c r="F135" i="6"/>
  <c r="F265" i="3"/>
  <c r="D265" i="3" s="1"/>
  <c r="F37" i="3"/>
  <c r="F25" i="3"/>
  <c r="F78" i="3"/>
  <c r="F232" i="3"/>
  <c r="F31" i="4"/>
  <c r="F285" i="3"/>
  <c r="F276" i="3"/>
  <c r="D276" i="3" s="1"/>
  <c r="F303" i="3"/>
  <c r="D303" i="3" s="1"/>
  <c r="F312" i="3"/>
  <c r="F269" i="3"/>
  <c r="F289" i="3"/>
  <c r="F263" i="3"/>
  <c r="F316" i="3"/>
  <c r="F283" i="3"/>
  <c r="F206" i="1"/>
  <c r="F267" i="1"/>
  <c r="F130" i="1"/>
  <c r="F285" i="1"/>
  <c r="F265" i="1"/>
  <c r="F284" i="1"/>
  <c r="F298" i="1"/>
  <c r="F217" i="1"/>
  <c r="F300" i="1"/>
  <c r="F36" i="1"/>
  <c r="F123" i="1"/>
  <c r="F49" i="5"/>
  <c r="F35" i="5"/>
  <c r="F41" i="5"/>
  <c r="Q12" i="8"/>
  <c r="AB12" i="8"/>
  <c r="AB8" i="8"/>
  <c r="D298" i="1" l="1"/>
  <c r="D260" i="1"/>
  <c r="D41" i="5"/>
  <c r="F6" i="8"/>
  <c r="F44" i="6"/>
  <c r="F102" i="6"/>
  <c r="F115" i="6"/>
  <c r="F126" i="6"/>
  <c r="D126" i="6" s="1"/>
  <c r="F27" i="4"/>
  <c r="F25" i="4"/>
  <c r="F210" i="3"/>
  <c r="F204" i="3"/>
  <c r="F103" i="3"/>
  <c r="F58" i="3"/>
  <c r="AA70" i="3"/>
  <c r="AB70" i="3" s="1"/>
  <c r="AA71" i="3"/>
  <c r="AB71" i="3" s="1"/>
  <c r="F28" i="3"/>
  <c r="G11" i="6"/>
  <c r="F313" i="3"/>
  <c r="F290" i="3"/>
  <c r="F314" i="3"/>
  <c r="D314" i="3" s="1"/>
  <c r="F284" i="3"/>
  <c r="F137" i="3"/>
  <c r="F299" i="3"/>
  <c r="F301" i="3"/>
  <c r="F8" i="2"/>
  <c r="F158" i="1"/>
  <c r="F31" i="1"/>
  <c r="F39" i="1"/>
  <c r="F30" i="1"/>
  <c r="F14" i="1"/>
  <c r="F210" i="1"/>
  <c r="F54" i="1"/>
  <c r="F230" i="1"/>
  <c r="D230" i="1" s="1"/>
  <c r="F239" i="1"/>
  <c r="D239" i="1" s="1"/>
  <c r="G240" i="1"/>
  <c r="J240" i="1"/>
  <c r="P240" i="1" s="1"/>
  <c r="Q240" i="1" s="1"/>
  <c r="AA240" i="1"/>
  <c r="AB240" i="1" s="1"/>
  <c r="F166" i="1"/>
  <c r="F52" i="1"/>
  <c r="F137" i="1"/>
  <c r="F145" i="1"/>
  <c r="F21" i="1"/>
  <c r="F55" i="1"/>
  <c r="F138" i="1"/>
  <c r="F135" i="1"/>
  <c r="F308" i="1"/>
  <c r="D308" i="1" s="1"/>
  <c r="F174" i="1"/>
  <c r="F176" i="1"/>
  <c r="F146" i="1"/>
  <c r="F238" i="1"/>
  <c r="D238" i="1" s="1"/>
  <c r="F37" i="1"/>
  <c r="F72" i="1"/>
  <c r="F31" i="2"/>
  <c r="F36" i="2"/>
  <c r="D36" i="2" s="1"/>
  <c r="F33" i="2"/>
  <c r="F34" i="2"/>
  <c r="F20" i="2"/>
  <c r="F251" i="1"/>
  <c r="F258" i="1"/>
  <c r="D258" i="1" s="1"/>
  <c r="F317" i="1"/>
  <c r="D317" i="1" s="1"/>
  <c r="F306" i="1"/>
  <c r="D306" i="1" s="1"/>
  <c r="F207" i="1"/>
  <c r="F274" i="1"/>
  <c r="D274" i="1" s="1"/>
  <c r="F272" i="1"/>
  <c r="D272" i="1" s="1"/>
  <c r="F273" i="1"/>
  <c r="D273" i="1" s="1"/>
  <c r="F295" i="1"/>
  <c r="D295" i="1" s="1"/>
  <c r="F186" i="1"/>
  <c r="F280" i="1"/>
  <c r="F296" i="1"/>
  <c r="D296" i="1" s="1"/>
  <c r="F245" i="1"/>
  <c r="F250" i="1"/>
  <c r="F229" i="1"/>
  <c r="F261" i="1"/>
  <c r="F15" i="5"/>
  <c r="F26" i="5"/>
  <c r="F34" i="5"/>
  <c r="F39" i="5"/>
  <c r="F24" i="5"/>
  <c r="F32" i="5"/>
  <c r="F47" i="5"/>
  <c r="D47" i="5" s="1"/>
  <c r="F43" i="5"/>
  <c r="D43" i="5" s="1"/>
  <c r="F48" i="5"/>
  <c r="D48" i="5" s="1"/>
  <c r="F30" i="5"/>
  <c r="L118" i="6"/>
  <c r="G6" i="8"/>
  <c r="G84" i="6"/>
  <c r="G9" i="6"/>
  <c r="G288" i="3"/>
  <c r="D288" i="3" s="1"/>
  <c r="G188" i="3"/>
  <c r="G162" i="3"/>
  <c r="G118" i="3"/>
  <c r="G74" i="3"/>
  <c r="G34" i="3"/>
  <c r="D34" i="3" s="1"/>
  <c r="G19" i="3"/>
  <c r="G11" i="3"/>
  <c r="G19" i="2"/>
  <c r="G307" i="1"/>
  <c r="G305" i="1"/>
  <c r="G28" i="1"/>
  <c r="G24" i="1"/>
  <c r="G22" i="1"/>
  <c r="G13" i="1"/>
  <c r="G11" i="1"/>
  <c r="G25" i="1"/>
  <c r="G18" i="1"/>
  <c r="G12" i="1"/>
  <c r="G8" i="1"/>
  <c r="G6" i="2"/>
  <c r="G39" i="1"/>
  <c r="G229" i="1"/>
  <c r="D229" i="1" s="1"/>
  <c r="G27" i="4"/>
  <c r="G23" i="4"/>
  <c r="G240" i="3"/>
  <c r="G135" i="3"/>
  <c r="G103" i="3"/>
  <c r="G86" i="3"/>
  <c r="G218" i="3"/>
  <c r="G110" i="3"/>
  <c r="G192" i="3"/>
  <c r="G297" i="3"/>
  <c r="G7" i="3"/>
  <c r="G286" i="3"/>
  <c r="G193" i="3"/>
  <c r="G102" i="3"/>
  <c r="G164" i="3"/>
  <c r="G14" i="3"/>
  <c r="G6" i="3"/>
  <c r="G184" i="3"/>
  <c r="G113" i="3"/>
  <c r="G245" i="3"/>
  <c r="G95" i="3"/>
  <c r="G203" i="3"/>
  <c r="G318" i="3"/>
  <c r="G201" i="3"/>
  <c r="G15" i="3"/>
  <c r="G248" i="3"/>
  <c r="G271" i="1"/>
  <c r="D271" i="1" s="1"/>
  <c r="G301" i="1"/>
  <c r="D301" i="1" s="1"/>
  <c r="G225" i="1"/>
  <c r="D225" i="1" s="1"/>
  <c r="G291" i="1"/>
  <c r="D291" i="1" s="1"/>
  <c r="G293" i="1"/>
  <c r="D293" i="1" s="1"/>
  <c r="G313" i="1"/>
  <c r="D313" i="1" s="1"/>
  <c r="G278" i="1"/>
  <c r="D278" i="1" s="1"/>
  <c r="G236" i="1"/>
  <c r="D236" i="1" s="1"/>
  <c r="G324" i="3"/>
  <c r="D324" i="3" s="1"/>
  <c r="G270" i="3"/>
  <c r="D270" i="3" s="1"/>
  <c r="G267" i="3"/>
  <c r="D267" i="3" s="1"/>
  <c r="G252" i="1"/>
  <c r="D252" i="1" s="1"/>
  <c r="G298" i="3"/>
  <c r="D298" i="3" s="1"/>
  <c r="G309" i="3"/>
  <c r="D309" i="3" s="1"/>
  <c r="G296" i="3"/>
  <c r="D296" i="3" s="1"/>
  <c r="G271" i="3"/>
  <c r="D271" i="3" s="1"/>
  <c r="G293" i="3"/>
  <c r="D293" i="3" s="1"/>
  <c r="G280" i="3"/>
  <c r="D280" i="3" s="1"/>
  <c r="G305" i="3"/>
  <c r="D305" i="3" s="1"/>
  <c r="G261" i="3"/>
  <c r="D261" i="3" s="1"/>
  <c r="G292" i="3"/>
  <c r="D292" i="3" s="1"/>
  <c r="G308" i="3"/>
  <c r="D308" i="3" s="1"/>
  <c r="G306" i="3"/>
  <c r="D306" i="3" s="1"/>
  <c r="J307" i="3"/>
  <c r="P307" i="3" s="1"/>
  <c r="Q307" i="3" s="1"/>
  <c r="D307" i="3" s="1"/>
  <c r="G200" i="1"/>
  <c r="G323" i="3"/>
  <c r="D323" i="3" s="1"/>
  <c r="G170" i="3"/>
  <c r="G145" i="3"/>
  <c r="G96" i="3"/>
  <c r="G131" i="3"/>
  <c r="G181" i="3"/>
  <c r="G48" i="3"/>
  <c r="G70" i="3"/>
  <c r="G152" i="3"/>
  <c r="G169" i="3"/>
  <c r="G54" i="3"/>
  <c r="G161" i="3"/>
  <c r="H325" i="3"/>
  <c r="G134" i="6"/>
  <c r="D134" i="6" s="1"/>
  <c r="G131" i="6"/>
  <c r="D131" i="6" s="1"/>
  <c r="AA11" i="6"/>
  <c r="AB11" i="6" s="1"/>
  <c r="N11" i="6" s="1"/>
  <c r="M11" i="6"/>
  <c r="L11" i="6"/>
  <c r="K11" i="6"/>
  <c r="H11" i="6"/>
  <c r="H229" i="3"/>
  <c r="H167" i="3"/>
  <c r="H140" i="3"/>
  <c r="H165" i="3"/>
  <c r="G132" i="6"/>
  <c r="D132" i="6" s="1"/>
  <c r="H277" i="3"/>
  <c r="G133" i="6"/>
  <c r="D133" i="6" s="1"/>
  <c r="H204" i="3"/>
  <c r="H12" i="3"/>
  <c r="G85" i="6"/>
  <c r="G16" i="3"/>
  <c r="G9" i="3"/>
  <c r="G104" i="3"/>
  <c r="G25" i="3"/>
  <c r="G264" i="3"/>
  <c r="D264" i="3" s="1"/>
  <c r="G78" i="3"/>
  <c r="G232" i="3"/>
  <c r="G31" i="4"/>
  <c r="G285" i="3"/>
  <c r="D285" i="3" s="1"/>
  <c r="G269" i="3"/>
  <c r="D269" i="3" s="1"/>
  <c r="G312" i="3"/>
  <c r="D312" i="3" s="1"/>
  <c r="G290" i="3"/>
  <c r="G295" i="3"/>
  <c r="G289" i="3"/>
  <c r="D289" i="3" s="1"/>
  <c r="G263" i="3"/>
  <c r="D263" i="3" s="1"/>
  <c r="G283" i="3"/>
  <c r="G316" i="3"/>
  <c r="G299" i="3"/>
  <c r="G85" i="1"/>
  <c r="G237" i="1"/>
  <c r="G7" i="1"/>
  <c r="G156" i="1"/>
  <c r="G78" i="1"/>
  <c r="G19" i="1"/>
  <c r="G190" i="1"/>
  <c r="G48" i="1"/>
  <c r="G57" i="1"/>
  <c r="G26" i="1"/>
  <c r="G105" i="1"/>
  <c r="G232" i="1"/>
  <c r="G228" i="1"/>
  <c r="G115" i="1"/>
  <c r="G122" i="1"/>
  <c r="G182" i="1"/>
  <c r="G135" i="6"/>
  <c r="D135" i="6" s="1"/>
  <c r="G115" i="6"/>
  <c r="L115" i="6"/>
  <c r="P115" i="6" s="1"/>
  <c r="Q115" i="6" s="1"/>
  <c r="D115" i="6" s="1"/>
  <c r="G44" i="6"/>
  <c r="G46" i="6"/>
  <c r="Q18" i="6"/>
  <c r="Q125" i="6"/>
  <c r="G64" i="6"/>
  <c r="G48" i="6"/>
  <c r="G128" i="6"/>
  <c r="G21" i="6"/>
  <c r="G325" i="3"/>
  <c r="G167" i="3"/>
  <c r="G140" i="3"/>
  <c r="G277" i="3"/>
  <c r="G65" i="3"/>
  <c r="G313" i="3"/>
  <c r="D313" i="3" s="1"/>
  <c r="G158" i="3"/>
  <c r="G12" i="3"/>
  <c r="G28" i="3"/>
  <c r="G229" i="3"/>
  <c r="G165" i="3"/>
  <c r="G204" i="3"/>
  <c r="G25" i="4"/>
  <c r="G15" i="4"/>
  <c r="G85" i="3"/>
  <c r="G116" i="3"/>
  <c r="G122" i="3"/>
  <c r="G241" i="3"/>
  <c r="G166" i="3"/>
  <c r="G108" i="3"/>
  <c r="G322" i="3"/>
  <c r="G278" i="3"/>
  <c r="D278" i="3" s="1"/>
  <c r="G284" i="3"/>
  <c r="G310" i="3"/>
  <c r="D310" i="3" s="1"/>
  <c r="G213" i="3"/>
  <c r="D325" i="3" l="1"/>
  <c r="D277" i="3"/>
  <c r="D240" i="1"/>
  <c r="P11" i="6"/>
  <c r="Q11" i="6" s="1"/>
  <c r="D11" i="6" s="1"/>
  <c r="G137" i="3"/>
  <c r="G315" i="3"/>
  <c r="D315" i="3" s="1"/>
  <c r="G279" i="3"/>
  <c r="D279" i="3" s="1"/>
  <c r="G327" i="3"/>
  <c r="D327" i="3" s="1"/>
  <c r="G89" i="3"/>
  <c r="G301" i="3"/>
  <c r="D301" i="3" s="1"/>
  <c r="G79" i="3"/>
  <c r="G14" i="2"/>
  <c r="G8" i="2"/>
  <c r="G315" i="1"/>
  <c r="D315" i="1" s="1"/>
  <c r="G101" i="1"/>
  <c r="G86" i="1"/>
  <c r="G193" i="1"/>
  <c r="G30" i="1"/>
  <c r="G68" i="1"/>
  <c r="AA131" i="1"/>
  <c r="AB131" i="1" s="1"/>
  <c r="N131" i="1" s="1"/>
  <c r="P131" i="1" s="1"/>
  <c r="Q131" i="1" s="1"/>
  <c r="G131" i="1"/>
  <c r="D131" i="1" l="1"/>
  <c r="G17" i="1"/>
  <c r="G29" i="1"/>
  <c r="G152" i="1"/>
  <c r="G20" i="1"/>
  <c r="G27" i="1"/>
  <c r="G32" i="1"/>
  <c r="G10" i="1"/>
  <c r="G14" i="1"/>
  <c r="G55" i="1"/>
  <c r="G135" i="1"/>
  <c r="G52" i="1"/>
  <c r="G130" i="1"/>
  <c r="G145" i="1"/>
  <c r="G138" i="1"/>
  <c r="G206" i="1"/>
  <c r="G136" i="1"/>
  <c r="G37" i="1"/>
  <c r="G72" i="1"/>
  <c r="G169" i="1"/>
  <c r="G210" i="1"/>
  <c r="G87" i="1"/>
  <c r="G267" i="1"/>
  <c r="G142" i="1"/>
  <c r="G199" i="1"/>
  <c r="G37" i="2"/>
  <c r="D37" i="2" s="1"/>
  <c r="G33" i="2"/>
  <c r="D33" i="2" s="1"/>
  <c r="G31" i="2"/>
  <c r="D31" i="2" s="1"/>
  <c r="G34" i="2"/>
  <c r="G20" i="2"/>
  <c r="G318" i="1"/>
  <c r="D318" i="1" s="1"/>
  <c r="G235" i="1"/>
  <c r="D235" i="1" s="1"/>
  <c r="G300" i="1"/>
  <c r="G282" i="1"/>
  <c r="D282" i="1" s="1"/>
  <c r="G284" i="1"/>
  <c r="G217" i="1"/>
  <c r="G302" i="1"/>
  <c r="G223" i="1"/>
  <c r="G262" i="1"/>
  <c r="D262" i="1" s="1"/>
  <c r="G264" i="1"/>
  <c r="D264" i="1" s="1"/>
  <c r="G276" i="1"/>
  <c r="D276" i="1" s="1"/>
  <c r="G221" i="1"/>
  <c r="D221" i="1" s="1"/>
  <c r="G251" i="1"/>
  <c r="D251" i="1" s="1"/>
  <c r="G280" i="1"/>
  <c r="G311" i="1"/>
  <c r="D311" i="1" s="1"/>
  <c r="G261" i="1"/>
  <c r="D261" i="1" s="1"/>
  <c r="G275" i="1"/>
  <c r="D275" i="1" s="1"/>
  <c r="G250" i="1"/>
  <c r="G245" i="1"/>
  <c r="D245" i="1" s="1"/>
  <c r="G285" i="1"/>
  <c r="D285" i="1" s="1"/>
  <c r="G265" i="1"/>
  <c r="G259" i="1"/>
  <c r="D259" i="1" s="1"/>
  <c r="G234" i="1"/>
  <c r="G177" i="1"/>
  <c r="G287" i="1"/>
  <c r="D287" i="1" s="1"/>
  <c r="G108" i="1"/>
  <c r="P216" i="1"/>
  <c r="Q216" i="1" s="1"/>
  <c r="AA147" i="1"/>
  <c r="AB147" i="1" s="1"/>
  <c r="AA33" i="1"/>
  <c r="AB33" i="1" s="1"/>
  <c r="AA39" i="1"/>
  <c r="AB39" i="1" s="1"/>
  <c r="AA50" i="1"/>
  <c r="AB50" i="1" s="1"/>
  <c r="AA65" i="1"/>
  <c r="AB65" i="1" s="1"/>
  <c r="AA92" i="1"/>
  <c r="AB92" i="1" s="1"/>
  <c r="AA94" i="1"/>
  <c r="AB94" i="1" s="1"/>
  <c r="AA97" i="1"/>
  <c r="AB97" i="1" s="1"/>
  <c r="AA124" i="1"/>
  <c r="AB124" i="1" s="1"/>
  <c r="AA148" i="1"/>
  <c r="AB148" i="1" s="1"/>
  <c r="AA170" i="1"/>
  <c r="AB170" i="1" s="1"/>
  <c r="AA192" i="1"/>
  <c r="AB192" i="1" s="1"/>
  <c r="AA196" i="1"/>
  <c r="AB196" i="1" s="1"/>
  <c r="AA216" i="1"/>
  <c r="AB216" i="1" s="1"/>
  <c r="AA34" i="1"/>
  <c r="AB34" i="1" s="1"/>
  <c r="AA217" i="1"/>
  <c r="AB217" i="1" s="1"/>
  <c r="AA41" i="1"/>
  <c r="AB41" i="1" s="1"/>
  <c r="AA42" i="1"/>
  <c r="AB42" i="1" s="1"/>
  <c r="AA44" i="1"/>
  <c r="AB44" i="1" s="1"/>
  <c r="AA223" i="1"/>
  <c r="AB223" i="1" s="1"/>
  <c r="AA55" i="1"/>
  <c r="AB55" i="1" s="1"/>
  <c r="AA7" i="1"/>
  <c r="AB7" i="1" s="1"/>
  <c r="AA228" i="1"/>
  <c r="AB228" i="1" s="1"/>
  <c r="AA232" i="1"/>
  <c r="AB232" i="1" s="1"/>
  <c r="AA63" i="1"/>
  <c r="AB63" i="1" s="1"/>
  <c r="AA70" i="1"/>
  <c r="AB70" i="1" s="1"/>
  <c r="AA234" i="1"/>
  <c r="AB234" i="1" s="1"/>
  <c r="AA72" i="1"/>
  <c r="AB72" i="1" s="1"/>
  <c r="AA237" i="1"/>
  <c r="AB237" i="1" s="1"/>
  <c r="AA243" i="1"/>
  <c r="AB243" i="1" s="1"/>
  <c r="AA84" i="1"/>
  <c r="AB84" i="1" s="1"/>
  <c r="AA85" i="1"/>
  <c r="AB85" i="1" s="1"/>
  <c r="AA250" i="1"/>
  <c r="AB250" i="1" s="1"/>
  <c r="AA93" i="1"/>
  <c r="AB93" i="1" s="1"/>
  <c r="AA10" i="1"/>
  <c r="AB10" i="1" s="1"/>
  <c r="AA107" i="1"/>
  <c r="AB107" i="1" s="1"/>
  <c r="AA108" i="1"/>
  <c r="AB108" i="1" s="1"/>
  <c r="AA111" i="1"/>
  <c r="AB111" i="1" s="1"/>
  <c r="AA114" i="1"/>
  <c r="AB114" i="1" s="1"/>
  <c r="AA115" i="1"/>
  <c r="AB115" i="1" s="1"/>
  <c r="AA105" i="1"/>
  <c r="AB105" i="1" s="1"/>
  <c r="AA118" i="1"/>
  <c r="AB118" i="1" s="1"/>
  <c r="AA120" i="1"/>
  <c r="AB120" i="1" s="1"/>
  <c r="AA265" i="1"/>
  <c r="AB265" i="1" s="1"/>
  <c r="AA267" i="1"/>
  <c r="AB267" i="1" s="1"/>
  <c r="AA122" i="1"/>
  <c r="AB122" i="1" s="1"/>
  <c r="AA268" i="1"/>
  <c r="AB268" i="1" s="1"/>
  <c r="AA269" i="1"/>
  <c r="AB269" i="1" s="1"/>
  <c r="AA129" i="1"/>
  <c r="AB129" i="1" s="1"/>
  <c r="AA139" i="1"/>
  <c r="AB139" i="1" s="1"/>
  <c r="AA279" i="1"/>
  <c r="AB279" i="1" s="1"/>
  <c r="AA149" i="1"/>
  <c r="AB149" i="1" s="1"/>
  <c r="AA280" i="1"/>
  <c r="AB280" i="1" s="1"/>
  <c r="AA150" i="1"/>
  <c r="AB150" i="1" s="1"/>
  <c r="AA151" i="1"/>
  <c r="AB151" i="1" s="1"/>
  <c r="AA284" i="1"/>
  <c r="AB284" i="1" s="1"/>
  <c r="AA152" i="1"/>
  <c r="AB152" i="1" s="1"/>
  <c r="AA155" i="1"/>
  <c r="AB155" i="1" s="1"/>
  <c r="AA156" i="1"/>
  <c r="AB156" i="1" s="1"/>
  <c r="AA159" i="1"/>
  <c r="AB159" i="1" s="1"/>
  <c r="AA160" i="1"/>
  <c r="AB160" i="1" s="1"/>
  <c r="AA162" i="1"/>
  <c r="AB162" i="1" s="1"/>
  <c r="AA290" i="1"/>
  <c r="AB290" i="1" s="1"/>
  <c r="AA164" i="1"/>
  <c r="AB164" i="1" s="1"/>
  <c r="AA167" i="1"/>
  <c r="AB167" i="1" s="1"/>
  <c r="AA168" i="1"/>
  <c r="AB168" i="1" s="1"/>
  <c r="AA300" i="1"/>
  <c r="AB300" i="1" s="1"/>
  <c r="AA175" i="1"/>
  <c r="AB175" i="1" s="1"/>
  <c r="AA176" i="1"/>
  <c r="AB176" i="1" s="1"/>
  <c r="AA177" i="1"/>
  <c r="AB177" i="1" s="1"/>
  <c r="AA179" i="1"/>
  <c r="AB179" i="1" s="1"/>
  <c r="AA181" i="1"/>
  <c r="AB181" i="1" s="1"/>
  <c r="AA305" i="1"/>
  <c r="AB305" i="1" s="1"/>
  <c r="AA182" i="1"/>
  <c r="AB182" i="1" s="1"/>
  <c r="AA186" i="1"/>
  <c r="AB186" i="1" s="1"/>
  <c r="AA307" i="1"/>
  <c r="AB307" i="1" s="1"/>
  <c r="AA312" i="1"/>
  <c r="AB312" i="1" s="1"/>
  <c r="AA302" i="1"/>
  <c r="AB302" i="1" s="1"/>
  <c r="AA187" i="1"/>
  <c r="AB187" i="1" s="1"/>
  <c r="AA188" i="1"/>
  <c r="AB188" i="1" s="1"/>
  <c r="AA191" i="1"/>
  <c r="AB191" i="1" s="1"/>
  <c r="AA200" i="1"/>
  <c r="AB200" i="1" s="1"/>
  <c r="AA204" i="1"/>
  <c r="AB204" i="1" s="1"/>
  <c r="AA207" i="1"/>
  <c r="AB207" i="1" s="1"/>
  <c r="AA215" i="1"/>
  <c r="AB215" i="1" s="1"/>
  <c r="AA212" i="1"/>
  <c r="AB212" i="1" s="1"/>
  <c r="L72" i="6"/>
  <c r="K72" i="6"/>
  <c r="J129" i="6"/>
  <c r="P129" i="6" s="1"/>
  <c r="L68" i="6"/>
  <c r="K68" i="6"/>
  <c r="L26" i="6"/>
  <c r="K26" i="6"/>
  <c r="K20" i="6"/>
  <c r="P20" i="6" s="1"/>
  <c r="T122" i="6"/>
  <c r="AA122" i="6" s="1"/>
  <c r="AB122" i="6" s="1"/>
  <c r="N122" i="6" s="1"/>
  <c r="P122" i="6" s="1"/>
  <c r="Y118" i="6"/>
  <c r="AA118" i="6" s="1"/>
  <c r="AB118" i="6" s="1"/>
  <c r="N118" i="6" s="1"/>
  <c r="P118" i="6" s="1"/>
  <c r="Z112" i="6"/>
  <c r="T112" i="6"/>
  <c r="AA112" i="6" s="1"/>
  <c r="X111" i="6"/>
  <c r="AA111" i="6" s="1"/>
  <c r="AB111" i="6" s="1"/>
  <c r="N111" i="6" s="1"/>
  <c r="M111" i="6"/>
  <c r="AA106" i="6"/>
  <c r="AB106" i="6" s="1"/>
  <c r="N106" i="6" s="1"/>
  <c r="P106" i="6" s="1"/>
  <c r="X104" i="6"/>
  <c r="AA104" i="6" s="1"/>
  <c r="AB104" i="6" s="1"/>
  <c r="N104" i="6" s="1"/>
  <c r="P104" i="6" s="1"/>
  <c r="X102" i="6"/>
  <c r="AA102" i="6" s="1"/>
  <c r="AB102" i="6" s="1"/>
  <c r="N102" i="6" s="1"/>
  <c r="M102" i="6"/>
  <c r="L102" i="6"/>
  <c r="K102" i="6"/>
  <c r="AA101" i="6"/>
  <c r="AB101" i="6" s="1"/>
  <c r="N101" i="6" s="1"/>
  <c r="P101" i="6" s="1"/>
  <c r="T100" i="6"/>
  <c r="AA100" i="6" s="1"/>
  <c r="AB100" i="6" s="1"/>
  <c r="N100" i="6" s="1"/>
  <c r="M100" i="6"/>
  <c r="K100" i="6"/>
  <c r="X97" i="6"/>
  <c r="AA97" i="6" s="1"/>
  <c r="AB97" i="6" s="1"/>
  <c r="N97" i="6" s="1"/>
  <c r="P97" i="6" s="1"/>
  <c r="Z93" i="6"/>
  <c r="Y93" i="6"/>
  <c r="X93" i="6"/>
  <c r="M91" i="6"/>
  <c r="K91" i="6"/>
  <c r="S90" i="6"/>
  <c r="AA90" i="6" s="1"/>
  <c r="AB90" i="6" s="1"/>
  <c r="N90" i="6" s="1"/>
  <c r="L90" i="6"/>
  <c r="Y89" i="6"/>
  <c r="V89" i="6"/>
  <c r="L89" i="6"/>
  <c r="Y88" i="6"/>
  <c r="V88" i="6"/>
  <c r="L88" i="6"/>
  <c r="Z86" i="6"/>
  <c r="Y86" i="6"/>
  <c r="X86" i="6"/>
  <c r="L86" i="6"/>
  <c r="X84" i="6"/>
  <c r="W84" i="6"/>
  <c r="L84" i="6"/>
  <c r="K84" i="6"/>
  <c r="J84" i="6"/>
  <c r="Z83" i="6"/>
  <c r="V83" i="6"/>
  <c r="AA83" i="6" s="1"/>
  <c r="V81" i="6"/>
  <c r="AA81" i="6" s="1"/>
  <c r="AB81" i="6" s="1"/>
  <c r="N81" i="6" s="1"/>
  <c r="P81" i="6" s="1"/>
  <c r="V78" i="6"/>
  <c r="AA78" i="6" s="1"/>
  <c r="AB78" i="6" s="1"/>
  <c r="N78" i="6" s="1"/>
  <c r="P78" i="6" s="1"/>
  <c r="X76" i="6"/>
  <c r="AA76" i="6" s="1"/>
  <c r="AB76" i="6" s="1"/>
  <c r="N76" i="6" s="1"/>
  <c r="K76" i="6"/>
  <c r="V73" i="6"/>
  <c r="AA73" i="6" s="1"/>
  <c r="AB73" i="6" s="1"/>
  <c r="N73" i="6" s="1"/>
  <c r="P73" i="6" s="1"/>
  <c r="X71" i="6"/>
  <c r="AA71" i="6" s="1"/>
  <c r="AB71" i="6" s="1"/>
  <c r="N71" i="6" s="1"/>
  <c r="M71" i="6"/>
  <c r="L71" i="6"/>
  <c r="K71" i="6"/>
  <c r="X69" i="6"/>
  <c r="AA69" i="6" s="1"/>
  <c r="AB69" i="6" s="1"/>
  <c r="N69" i="6" s="1"/>
  <c r="M69" i="6"/>
  <c r="K69" i="6"/>
  <c r="Z67" i="6"/>
  <c r="V67" i="6"/>
  <c r="AA67" i="6" s="1"/>
  <c r="V70" i="6"/>
  <c r="AA70" i="6" s="1"/>
  <c r="AB70" i="6" s="1"/>
  <c r="N70" i="6" s="1"/>
  <c r="P70" i="6" s="1"/>
  <c r="V66" i="6"/>
  <c r="AA66" i="6" s="1"/>
  <c r="AB66" i="6" s="1"/>
  <c r="N66" i="6" s="1"/>
  <c r="P66" i="6" s="1"/>
  <c r="X65" i="6"/>
  <c r="AA65" i="6" s="1"/>
  <c r="AB65" i="6" s="1"/>
  <c r="N65" i="6" s="1"/>
  <c r="P65" i="6" s="1"/>
  <c r="W64" i="6"/>
  <c r="AA64" i="6" s="1"/>
  <c r="AB64" i="6" s="1"/>
  <c r="N64" i="6" s="1"/>
  <c r="M64" i="6"/>
  <c r="V58" i="6"/>
  <c r="AA58" i="6" s="1"/>
  <c r="AB58" i="6" s="1"/>
  <c r="N58" i="6" s="1"/>
  <c r="P58" i="6" s="1"/>
  <c r="T57" i="6"/>
  <c r="AA57" i="6" s="1"/>
  <c r="AB57" i="6" s="1"/>
  <c r="N57" i="6" s="1"/>
  <c r="P57" i="6" s="1"/>
  <c r="AA56" i="6"/>
  <c r="AB56" i="6" s="1"/>
  <c r="N56" i="6" s="1"/>
  <c r="P56" i="6" s="1"/>
  <c r="Z50" i="6"/>
  <c r="X50" i="6"/>
  <c r="W50" i="6"/>
  <c r="V50" i="6"/>
  <c r="O50" i="6"/>
  <c r="M50" i="6"/>
  <c r="L50" i="6"/>
  <c r="M48" i="6"/>
  <c r="L48" i="6"/>
  <c r="K48" i="6"/>
  <c r="J48" i="6"/>
  <c r="V47" i="6"/>
  <c r="AA47" i="6" s="1"/>
  <c r="AB47" i="6" s="1"/>
  <c r="N47" i="6" s="1"/>
  <c r="P47" i="6" s="1"/>
  <c r="Y43" i="6"/>
  <c r="X43" i="6"/>
  <c r="W43" i="6"/>
  <c r="M43" i="6"/>
  <c r="L43" i="6"/>
  <c r="X40" i="6"/>
  <c r="AA40" i="6" s="1"/>
  <c r="AB40" i="6" s="1"/>
  <c r="N40" i="6" s="1"/>
  <c r="P40" i="6" s="1"/>
  <c r="T37" i="6"/>
  <c r="AA37" i="6" s="1"/>
  <c r="AB37" i="6" s="1"/>
  <c r="N37" i="6" s="1"/>
  <c r="P37" i="6" s="1"/>
  <c r="V33" i="6"/>
  <c r="AA33" i="6" s="1"/>
  <c r="AB33" i="6" s="1"/>
  <c r="N33" i="6" s="1"/>
  <c r="P33" i="6" s="1"/>
  <c r="Z23" i="6"/>
  <c r="X23" i="6"/>
  <c r="W23" i="6"/>
  <c r="V23" i="6"/>
  <c r="O23" i="6"/>
  <c r="M23" i="6"/>
  <c r="L23" i="6"/>
  <c r="T19" i="6"/>
  <c r="AA19" i="6" s="1"/>
  <c r="AB19" i="6" s="1"/>
  <c r="N19" i="6" s="1"/>
  <c r="P19" i="6" s="1"/>
  <c r="L108" i="6"/>
  <c r="S108" i="6"/>
  <c r="AA108" i="6" s="1"/>
  <c r="AB108" i="6" s="1"/>
  <c r="N108" i="6" s="1"/>
  <c r="S95" i="6"/>
  <c r="T95" i="6"/>
  <c r="V95" i="6"/>
  <c r="K60" i="6"/>
  <c r="V60" i="6"/>
  <c r="AA60" i="6" s="1"/>
  <c r="Z60" i="6"/>
  <c r="Y46" i="6"/>
  <c r="X46" i="6"/>
  <c r="V46" i="6"/>
  <c r="U46" i="6"/>
  <c r="M46" i="6"/>
  <c r="L46" i="6"/>
  <c r="K46" i="6"/>
  <c r="J46" i="6"/>
  <c r="X8" i="6"/>
  <c r="W8" i="6"/>
  <c r="V8" i="6"/>
  <c r="O8" i="6"/>
  <c r="M8" i="6"/>
  <c r="L8" i="6"/>
  <c r="K8" i="6"/>
  <c r="T15" i="8"/>
  <c r="AA15" i="8" s="1"/>
  <c r="AB15" i="8" s="1"/>
  <c r="N15" i="8" s="1"/>
  <c r="P15" i="8" s="1"/>
  <c r="Q15" i="8" s="1"/>
  <c r="AA10" i="8"/>
  <c r="AB10" i="8" s="1"/>
  <c r="N10" i="8" s="1"/>
  <c r="P10" i="8" s="1"/>
  <c r="Q10" i="8" s="1"/>
  <c r="Y6" i="8"/>
  <c r="X6" i="8"/>
  <c r="W6" i="8"/>
  <c r="V6" i="8"/>
  <c r="AA6" i="8" s="1"/>
  <c r="L6" i="8"/>
  <c r="K6" i="8"/>
  <c r="J6" i="8"/>
  <c r="O71" i="3"/>
  <c r="J71" i="3"/>
  <c r="P71" i="3" s="1"/>
  <c r="K212" i="1"/>
  <c r="P212" i="1" s="1"/>
  <c r="Q212" i="1" s="1"/>
  <c r="D212" i="1" s="1"/>
  <c r="L215" i="1"/>
  <c r="P215" i="1" s="1"/>
  <c r="Q215" i="1" s="1"/>
  <c r="D215" i="1" s="1"/>
  <c r="K207" i="1"/>
  <c r="P207" i="1" s="1"/>
  <c r="Q207" i="1" s="1"/>
  <c r="D207" i="1" s="1"/>
  <c r="M204" i="1"/>
  <c r="L204" i="1"/>
  <c r="K204" i="1"/>
  <c r="O200" i="1"/>
  <c r="M200" i="1"/>
  <c r="P200" i="1" s="1"/>
  <c r="L191" i="1"/>
  <c r="P191" i="1" s="1"/>
  <c r="Q191" i="1" s="1"/>
  <c r="D191" i="1" s="1"/>
  <c r="N188" i="1"/>
  <c r="M188" i="1"/>
  <c r="L188" i="1"/>
  <c r="M187" i="1"/>
  <c r="K187" i="1"/>
  <c r="J302" i="1"/>
  <c r="P302" i="1" s="1"/>
  <c r="Q302" i="1" s="1"/>
  <c r="J312" i="1"/>
  <c r="P312" i="1" s="1"/>
  <c r="Q312" i="1" s="1"/>
  <c r="D312" i="1" s="1"/>
  <c r="J307" i="1"/>
  <c r="P307" i="1" s="1"/>
  <c r="Q307" i="1" s="1"/>
  <c r="D307" i="1" s="1"/>
  <c r="K186" i="1"/>
  <c r="P186" i="1" s="1"/>
  <c r="Q186" i="1" s="1"/>
  <c r="D186" i="1" s="1"/>
  <c r="K182" i="1"/>
  <c r="J182" i="1"/>
  <c r="J305" i="1"/>
  <c r="P305" i="1" s="1"/>
  <c r="Q305" i="1" s="1"/>
  <c r="D305" i="1" s="1"/>
  <c r="L181" i="1"/>
  <c r="P181" i="1" s="1"/>
  <c r="Q181" i="1" s="1"/>
  <c r="D181" i="1" s="1"/>
  <c r="L179" i="1"/>
  <c r="P179" i="1" s="1"/>
  <c r="Q179" i="1" s="1"/>
  <c r="D179" i="1" s="1"/>
  <c r="K177" i="1"/>
  <c r="P177" i="1" s="1"/>
  <c r="Q177" i="1" s="1"/>
  <c r="D177" i="1" s="1"/>
  <c r="M176" i="1"/>
  <c r="L176" i="1"/>
  <c r="K176" i="1"/>
  <c r="L175" i="1"/>
  <c r="P175" i="1" s="1"/>
  <c r="Q175" i="1" s="1"/>
  <c r="D175" i="1" s="1"/>
  <c r="J300" i="1"/>
  <c r="P300" i="1" s="1"/>
  <c r="Q300" i="1" s="1"/>
  <c r="D300" i="1" s="1"/>
  <c r="L168" i="1"/>
  <c r="P168" i="1" s="1"/>
  <c r="Q168" i="1" s="1"/>
  <c r="D168" i="1" s="1"/>
  <c r="L167" i="1"/>
  <c r="P167" i="1" s="1"/>
  <c r="Q167" i="1" s="1"/>
  <c r="D167" i="1" s="1"/>
  <c r="L164" i="1"/>
  <c r="P164" i="1" s="1"/>
  <c r="Q164" i="1" s="1"/>
  <c r="D164" i="1" s="1"/>
  <c r="J290" i="1"/>
  <c r="P290" i="1" s="1"/>
  <c r="Q290" i="1" s="1"/>
  <c r="D290" i="1" s="1"/>
  <c r="L162" i="1"/>
  <c r="P162" i="1" s="1"/>
  <c r="Q162" i="1" s="1"/>
  <c r="D162" i="1" s="1"/>
  <c r="L160" i="1"/>
  <c r="P160" i="1" s="1"/>
  <c r="Q160" i="1" s="1"/>
  <c r="D160" i="1" s="1"/>
  <c r="M159" i="1"/>
  <c r="P159" i="1" s="1"/>
  <c r="Q159" i="1" s="1"/>
  <c r="D159" i="1" s="1"/>
  <c r="M156" i="1"/>
  <c r="K156" i="1"/>
  <c r="K155" i="1"/>
  <c r="P155" i="1" s="1"/>
  <c r="Q155" i="1" s="1"/>
  <c r="D155" i="1" s="1"/>
  <c r="M152" i="1"/>
  <c r="L152" i="1"/>
  <c r="K152" i="1"/>
  <c r="J284" i="1"/>
  <c r="P284" i="1" s="1"/>
  <c r="Q284" i="1" s="1"/>
  <c r="D284" i="1" s="1"/>
  <c r="L151" i="1"/>
  <c r="P151" i="1" s="1"/>
  <c r="Q151" i="1" s="1"/>
  <c r="D151" i="1" s="1"/>
  <c r="K150" i="1"/>
  <c r="P150" i="1" s="1"/>
  <c r="Q150" i="1" s="1"/>
  <c r="D150" i="1" s="1"/>
  <c r="J280" i="1"/>
  <c r="P280" i="1" s="1"/>
  <c r="Q280" i="1" s="1"/>
  <c r="L149" i="1"/>
  <c r="K149" i="1"/>
  <c r="J149" i="1"/>
  <c r="J279" i="1"/>
  <c r="P279" i="1" s="1"/>
  <c r="Q279" i="1" s="1"/>
  <c r="D279" i="1" s="1"/>
  <c r="L139" i="1"/>
  <c r="P139" i="1" s="1"/>
  <c r="Q139" i="1" s="1"/>
  <c r="D139" i="1" s="1"/>
  <c r="K129" i="1"/>
  <c r="P129" i="1" s="1"/>
  <c r="Q129" i="1" s="1"/>
  <c r="D129" i="1" s="1"/>
  <c r="J269" i="1"/>
  <c r="P269" i="1" s="1"/>
  <c r="Q269" i="1" s="1"/>
  <c r="D269" i="1" s="1"/>
  <c r="J268" i="1"/>
  <c r="P268" i="1" s="1"/>
  <c r="Q268" i="1" s="1"/>
  <c r="D268" i="1" s="1"/>
  <c r="M122" i="1"/>
  <c r="K122" i="1"/>
  <c r="J267" i="1"/>
  <c r="P267" i="1" s="1"/>
  <c r="Q267" i="1" s="1"/>
  <c r="D267" i="1" s="1"/>
  <c r="J265" i="1"/>
  <c r="P265" i="1" s="1"/>
  <c r="Q265" i="1" s="1"/>
  <c r="D265" i="1" s="1"/>
  <c r="M120" i="1"/>
  <c r="P120" i="1" s="1"/>
  <c r="Q120" i="1" s="1"/>
  <c r="D120" i="1" s="1"/>
  <c r="L118" i="1"/>
  <c r="P118" i="1" s="1"/>
  <c r="Q118" i="1" s="1"/>
  <c r="D118" i="1" s="1"/>
  <c r="K105" i="1"/>
  <c r="P105" i="1" s="1"/>
  <c r="Q105" i="1" s="1"/>
  <c r="D105" i="1" s="1"/>
  <c r="M115" i="1"/>
  <c r="P115" i="1" s="1"/>
  <c r="Q115" i="1" s="1"/>
  <c r="D115" i="1" s="1"/>
  <c r="L114" i="1"/>
  <c r="P114" i="1" s="1"/>
  <c r="Q114" i="1" s="1"/>
  <c r="D114" i="1" s="1"/>
  <c r="K111" i="1"/>
  <c r="P111" i="1" s="1"/>
  <c r="Q111" i="1" s="1"/>
  <c r="D111" i="1" s="1"/>
  <c r="M108" i="1"/>
  <c r="K108" i="1"/>
  <c r="K107" i="1"/>
  <c r="P107" i="1" s="1"/>
  <c r="Q107" i="1" s="1"/>
  <c r="D107" i="1" s="1"/>
  <c r="L10" i="1"/>
  <c r="K10" i="1"/>
  <c r="L93" i="1"/>
  <c r="P93" i="1" s="1"/>
  <c r="Q93" i="1" s="1"/>
  <c r="D93" i="1" s="1"/>
  <c r="J250" i="1"/>
  <c r="P250" i="1" s="1"/>
  <c r="Q250" i="1" s="1"/>
  <c r="L85" i="1"/>
  <c r="J85" i="1"/>
  <c r="M84" i="1"/>
  <c r="P84" i="1" s="1"/>
  <c r="Q84" i="1" s="1"/>
  <c r="D84" i="1" s="1"/>
  <c r="J243" i="1"/>
  <c r="P243" i="1" s="1"/>
  <c r="Q243" i="1" s="1"/>
  <c r="D243" i="1" s="1"/>
  <c r="J237" i="1"/>
  <c r="P237" i="1" s="1"/>
  <c r="Q237" i="1" s="1"/>
  <c r="D237" i="1" s="1"/>
  <c r="K72" i="1"/>
  <c r="P72" i="1" s="1"/>
  <c r="Q72" i="1" s="1"/>
  <c r="J234" i="1"/>
  <c r="P234" i="1" s="1"/>
  <c r="Q234" i="1" s="1"/>
  <c r="L70" i="1"/>
  <c r="P70" i="1" s="1"/>
  <c r="Q70" i="1" s="1"/>
  <c r="D70" i="1" s="1"/>
  <c r="L63" i="1"/>
  <c r="P63" i="1" s="1"/>
  <c r="Q63" i="1" s="1"/>
  <c r="D63" i="1" s="1"/>
  <c r="J232" i="1"/>
  <c r="P232" i="1" s="1"/>
  <c r="Q232" i="1" s="1"/>
  <c r="D232" i="1" s="1"/>
  <c r="J228" i="1"/>
  <c r="P228" i="1" s="1"/>
  <c r="Q228" i="1" s="1"/>
  <c r="D228" i="1" s="1"/>
  <c r="M7" i="1"/>
  <c r="K7" i="1"/>
  <c r="K55" i="1"/>
  <c r="P55" i="1" s="1"/>
  <c r="Q55" i="1" s="1"/>
  <c r="J223" i="1"/>
  <c r="P223" i="1" s="1"/>
  <c r="Q223" i="1" s="1"/>
  <c r="D223" i="1" s="1"/>
  <c r="L44" i="1"/>
  <c r="P44" i="1" s="1"/>
  <c r="Q44" i="1" s="1"/>
  <c r="D44" i="1" s="1"/>
  <c r="L42" i="1"/>
  <c r="K42" i="1"/>
  <c r="L41" i="1"/>
  <c r="P41" i="1" s="1"/>
  <c r="Q41" i="1" s="1"/>
  <c r="D41" i="1" s="1"/>
  <c r="J217" i="1"/>
  <c r="P217" i="1" s="1"/>
  <c r="Q217" i="1" s="1"/>
  <c r="D217" i="1" s="1"/>
  <c r="M34" i="1"/>
  <c r="P34" i="1" s="1"/>
  <c r="Q34" i="1" s="1"/>
  <c r="D34" i="1" s="1"/>
  <c r="D72" i="1" l="1"/>
  <c r="D250" i="1"/>
  <c r="D55" i="1"/>
  <c r="D302" i="1"/>
  <c r="D234" i="1"/>
  <c r="D280" i="1"/>
  <c r="Q71" i="3"/>
  <c r="D71" i="3" s="1"/>
  <c r="AB6" i="8"/>
  <c r="N6" i="8" s="1"/>
  <c r="P6" i="8" s="1"/>
  <c r="Q6" i="8" s="1"/>
  <c r="P72" i="6"/>
  <c r="Q72" i="6" s="1"/>
  <c r="D72" i="6" s="1"/>
  <c r="P26" i="6"/>
  <c r="Q26" i="6" s="1"/>
  <c r="D26" i="6" s="1"/>
  <c r="AA93" i="6"/>
  <c r="AB93" i="6" s="1"/>
  <c r="N93" i="6" s="1"/>
  <c r="P93" i="6" s="1"/>
  <c r="AB112" i="6"/>
  <c r="N112" i="6" s="1"/>
  <c r="P112" i="6" s="1"/>
  <c r="Q112" i="6" s="1"/>
  <c r="D112" i="6" s="1"/>
  <c r="Q78" i="6"/>
  <c r="D78" i="6" s="1"/>
  <c r="Q65" i="6"/>
  <c r="D65" i="6" s="1"/>
  <c r="Q33" i="6"/>
  <c r="D33" i="6" s="1"/>
  <c r="Q37" i="6"/>
  <c r="D37" i="6" s="1"/>
  <c r="Q118" i="6"/>
  <c r="D118" i="6" s="1"/>
  <c r="Q104" i="6"/>
  <c r="D104" i="6" s="1"/>
  <c r="Q122" i="6"/>
  <c r="D122" i="6" s="1"/>
  <c r="Q20" i="6"/>
  <c r="D20" i="6" s="1"/>
  <c r="Q70" i="6"/>
  <c r="D70" i="6" s="1"/>
  <c r="Q47" i="6"/>
  <c r="D47" i="6" s="1"/>
  <c r="Q81" i="6"/>
  <c r="D81" i="6" s="1"/>
  <c r="Q66" i="6"/>
  <c r="D66" i="6" s="1"/>
  <c r="Q40" i="6"/>
  <c r="D40" i="6" s="1"/>
  <c r="Q56" i="6"/>
  <c r="D56" i="6" s="1"/>
  <c r="Q57" i="6"/>
  <c r="D57" i="6" s="1"/>
  <c r="Q73" i="6"/>
  <c r="D73" i="6" s="1"/>
  <c r="Q19" i="6"/>
  <c r="D19" i="6" s="1"/>
  <c r="Q106" i="6"/>
  <c r="D106" i="6" s="1"/>
  <c r="Q58" i="6"/>
  <c r="D58" i="6" s="1"/>
  <c r="Q101" i="6"/>
  <c r="D101" i="6" s="1"/>
  <c r="Q129" i="6"/>
  <c r="D129" i="6" s="1"/>
  <c r="Q97" i="6"/>
  <c r="D97" i="6" s="1"/>
  <c r="P85" i="1"/>
  <c r="Q85" i="1" s="1"/>
  <c r="D85" i="1" s="1"/>
  <c r="P7" i="1"/>
  <c r="Q7" i="1" s="1"/>
  <c r="D7" i="1" s="1"/>
  <c r="P156" i="1"/>
  <c r="Q156" i="1" s="1"/>
  <c r="D156" i="1" s="1"/>
  <c r="P42" i="1"/>
  <c r="Q42" i="1" s="1"/>
  <c r="D42" i="1" s="1"/>
  <c r="P152" i="1"/>
  <c r="Q152" i="1" s="1"/>
  <c r="D152" i="1" s="1"/>
  <c r="P204" i="1"/>
  <c r="Q204" i="1" s="1"/>
  <c r="D204" i="1" s="1"/>
  <c r="P176" i="1"/>
  <c r="Q176" i="1" s="1"/>
  <c r="D176" i="1" s="1"/>
  <c r="P10" i="1"/>
  <c r="Q10" i="1" s="1"/>
  <c r="D10" i="1" s="1"/>
  <c r="P122" i="1"/>
  <c r="Q122" i="1" s="1"/>
  <c r="D122" i="1" s="1"/>
  <c r="P188" i="1"/>
  <c r="Q188" i="1" s="1"/>
  <c r="D188" i="1" s="1"/>
  <c r="P182" i="1"/>
  <c r="Q182" i="1" s="1"/>
  <c r="D182" i="1" s="1"/>
  <c r="P187" i="1"/>
  <c r="Q187" i="1" s="1"/>
  <c r="D187" i="1" s="1"/>
  <c r="P149" i="1"/>
  <c r="Q149" i="1" s="1"/>
  <c r="D149" i="1" s="1"/>
  <c r="Q200" i="1"/>
  <c r="D200" i="1" s="1"/>
  <c r="P108" i="1"/>
  <c r="Q108" i="1" s="1"/>
  <c r="D108" i="1" s="1"/>
  <c r="P91" i="6"/>
  <c r="P111" i="6"/>
  <c r="P68" i="6"/>
  <c r="AA88" i="6"/>
  <c r="AB88" i="6" s="1"/>
  <c r="N88" i="6" s="1"/>
  <c r="P88" i="6" s="1"/>
  <c r="P102" i="6"/>
  <c r="P100" i="6"/>
  <c r="AA89" i="6"/>
  <c r="AB89" i="6" s="1"/>
  <c r="N89" i="6" s="1"/>
  <c r="P89" i="6" s="1"/>
  <c r="P90" i="6"/>
  <c r="AA86" i="6"/>
  <c r="AB86" i="6" s="1"/>
  <c r="N86" i="6" s="1"/>
  <c r="P86" i="6" s="1"/>
  <c r="AA84" i="6"/>
  <c r="AB84" i="6" s="1"/>
  <c r="N84" i="6" s="1"/>
  <c r="P84" i="6" s="1"/>
  <c r="AB83" i="6"/>
  <c r="N83" i="6" s="1"/>
  <c r="P83" i="6" s="1"/>
  <c r="P76" i="6"/>
  <c r="AB67" i="6"/>
  <c r="N67" i="6" s="1"/>
  <c r="P67" i="6" s="1"/>
  <c r="P71" i="6"/>
  <c r="P69" i="6"/>
  <c r="AA95" i="6"/>
  <c r="AB95" i="6" s="1"/>
  <c r="N95" i="6" s="1"/>
  <c r="P95" i="6" s="1"/>
  <c r="AA8" i="6"/>
  <c r="AB8" i="6" s="1"/>
  <c r="N8" i="6" s="1"/>
  <c r="P8" i="6" s="1"/>
  <c r="AA43" i="6"/>
  <c r="AB43" i="6" s="1"/>
  <c r="N43" i="6" s="1"/>
  <c r="P43" i="6" s="1"/>
  <c r="P64" i="6"/>
  <c r="AA50" i="6"/>
  <c r="AB50" i="6" s="1"/>
  <c r="N50" i="6" s="1"/>
  <c r="P50" i="6" s="1"/>
  <c r="P108" i="6"/>
  <c r="AA23" i="6"/>
  <c r="AB23" i="6" s="1"/>
  <c r="N23" i="6" s="1"/>
  <c r="P23" i="6" s="1"/>
  <c r="P48" i="6"/>
  <c r="AB60" i="6"/>
  <c r="N60" i="6" s="1"/>
  <c r="P60" i="6" s="1"/>
  <c r="AA46" i="6"/>
  <c r="AB46" i="6" s="1"/>
  <c r="N46" i="6" s="1"/>
  <c r="P46" i="6" s="1"/>
  <c r="Q76" i="6" l="1"/>
  <c r="D76" i="6" s="1"/>
  <c r="Q83" i="6"/>
  <c r="D83" i="6" s="1"/>
  <c r="Q86" i="6"/>
  <c r="D86" i="6" s="1"/>
  <c r="Q46" i="6"/>
  <c r="D46" i="6" s="1"/>
  <c r="Q60" i="6"/>
  <c r="D60" i="6" s="1"/>
  <c r="Q89" i="6"/>
  <c r="D89" i="6" s="1"/>
  <c r="Q23" i="6"/>
  <c r="D23" i="6" s="1"/>
  <c r="Q90" i="6"/>
  <c r="D90" i="6" s="1"/>
  <c r="Q100" i="6"/>
  <c r="D100" i="6" s="1"/>
  <c r="Q8" i="6"/>
  <c r="D8" i="6" s="1"/>
  <c r="Q64" i="6"/>
  <c r="D64" i="6" s="1"/>
  <c r="Q43" i="6"/>
  <c r="D43" i="6" s="1"/>
  <c r="Q102" i="6"/>
  <c r="D102" i="6" s="1"/>
  <c r="Q69" i="6"/>
  <c r="D69" i="6" s="1"/>
  <c r="Q71" i="6"/>
  <c r="D71" i="6" s="1"/>
  <c r="Q111" i="6"/>
  <c r="D111" i="6" s="1"/>
  <c r="Q88" i="6"/>
  <c r="D88" i="6" s="1"/>
  <c r="Q84" i="6"/>
  <c r="D84" i="6" s="1"/>
  <c r="Q48" i="6"/>
  <c r="D48" i="6" s="1"/>
  <c r="Q108" i="6"/>
  <c r="D108" i="6" s="1"/>
  <c r="Q50" i="6"/>
  <c r="D50" i="6" s="1"/>
  <c r="Q93" i="6"/>
  <c r="D93" i="6" s="1"/>
  <c r="Q95" i="6"/>
  <c r="D95" i="6" s="1"/>
  <c r="Q68" i="6"/>
  <c r="D68" i="6" s="1"/>
  <c r="Q67" i="6"/>
  <c r="D67" i="6" s="1"/>
  <c r="Q91" i="6"/>
  <c r="D91" i="6" s="1"/>
  <c r="P22" i="3"/>
  <c r="Q22" i="3" s="1"/>
  <c r="P260" i="3"/>
  <c r="Q260" i="3" s="1"/>
  <c r="J31" i="4"/>
  <c r="P31" i="4" s="1"/>
  <c r="O31" i="4"/>
  <c r="Y15" i="4"/>
  <c r="AA15" i="4" s="1"/>
  <c r="AB15" i="4" s="1"/>
  <c r="N15" i="4" s="1"/>
  <c r="O15" i="4"/>
  <c r="M15" i="4"/>
  <c r="L15" i="4"/>
  <c r="K15" i="4"/>
  <c r="Y10" i="4"/>
  <c r="X10" i="4"/>
  <c r="W10" i="4"/>
  <c r="V10" i="4"/>
  <c r="L10" i="4"/>
  <c r="K10" i="4"/>
  <c r="J10" i="4"/>
  <c r="Y9" i="4"/>
  <c r="X9" i="4"/>
  <c r="V9" i="4"/>
  <c r="M9" i="4"/>
  <c r="M48" i="3"/>
  <c r="P48" i="3" s="1"/>
  <c r="O48" i="3"/>
  <c r="J275" i="3"/>
  <c r="P275" i="3" s="1"/>
  <c r="O275" i="3"/>
  <c r="L86" i="3"/>
  <c r="M86" i="3"/>
  <c r="M96" i="3"/>
  <c r="P96" i="3" s="1"/>
  <c r="O96" i="3"/>
  <c r="K104" i="3"/>
  <c r="L104" i="3"/>
  <c r="J119" i="3"/>
  <c r="K119" i="3"/>
  <c r="K127" i="3"/>
  <c r="L127" i="3"/>
  <c r="J130" i="3"/>
  <c r="K130" i="3"/>
  <c r="L130" i="3"/>
  <c r="M131" i="3"/>
  <c r="P131" i="3" s="1"/>
  <c r="Q131" i="3" s="1"/>
  <c r="D131" i="3" s="1"/>
  <c r="L135" i="3"/>
  <c r="M135" i="3"/>
  <c r="M156" i="3"/>
  <c r="P156" i="3" s="1"/>
  <c r="O156" i="3"/>
  <c r="J166" i="3"/>
  <c r="K166" i="3"/>
  <c r="L166" i="3"/>
  <c r="M166" i="3"/>
  <c r="M169" i="3"/>
  <c r="P169" i="3" s="1"/>
  <c r="O169" i="3"/>
  <c r="M176" i="3"/>
  <c r="M181" i="3"/>
  <c r="P181" i="3" s="1"/>
  <c r="O181" i="3"/>
  <c r="K213" i="3"/>
  <c r="M213" i="3"/>
  <c r="M231" i="3"/>
  <c r="P231" i="3" s="1"/>
  <c r="O231" i="3"/>
  <c r="W258" i="3"/>
  <c r="AA258" i="3" s="1"/>
  <c r="AB258" i="3" s="1"/>
  <c r="N258" i="3" s="1"/>
  <c r="V255" i="3"/>
  <c r="AA255" i="3" s="1"/>
  <c r="AB255" i="3" s="1"/>
  <c r="N255" i="3" s="1"/>
  <c r="P255" i="3" s="1"/>
  <c r="Q255" i="3" s="1"/>
  <c r="D255" i="3" s="1"/>
  <c r="L239" i="3"/>
  <c r="M239" i="3"/>
  <c r="V239" i="3"/>
  <c r="W239" i="3"/>
  <c r="X239" i="3"/>
  <c r="K237" i="3"/>
  <c r="L237" i="3"/>
  <c r="W237" i="3"/>
  <c r="X237" i="3"/>
  <c r="U235" i="3"/>
  <c r="AA235" i="3" s="1"/>
  <c r="AB235" i="3" s="1"/>
  <c r="N235" i="3" s="1"/>
  <c r="J232" i="3"/>
  <c r="K232" i="3"/>
  <c r="L232" i="3"/>
  <c r="M232" i="3"/>
  <c r="V232" i="3"/>
  <c r="W232" i="3"/>
  <c r="X232" i="3"/>
  <c r="Y233" i="3"/>
  <c r="AA233" i="3" s="1"/>
  <c r="AB233" i="3" s="1"/>
  <c r="N233" i="3" s="1"/>
  <c r="L218" i="3"/>
  <c r="M218" i="3"/>
  <c r="O218" i="3"/>
  <c r="U218" i="3"/>
  <c r="AA218" i="3" s="1"/>
  <c r="AB218" i="3" s="1"/>
  <c r="N218" i="3" s="1"/>
  <c r="V224" i="3"/>
  <c r="AA224" i="3" s="1"/>
  <c r="AB224" i="3" s="1"/>
  <c r="N224" i="3" s="1"/>
  <c r="K216" i="3"/>
  <c r="L216" i="3"/>
  <c r="M216" i="3"/>
  <c r="V216" i="3"/>
  <c r="AA216" i="3" s="1"/>
  <c r="AB216" i="3" s="1"/>
  <c r="N216" i="3" s="1"/>
  <c r="M209" i="3"/>
  <c r="U209" i="3"/>
  <c r="AA209" i="3" s="1"/>
  <c r="AB209" i="3" s="1"/>
  <c r="N209" i="3" s="1"/>
  <c r="K15" i="3"/>
  <c r="L15" i="3"/>
  <c r="M15" i="3"/>
  <c r="O15" i="3"/>
  <c r="X15" i="3"/>
  <c r="AA15" i="3" s="1"/>
  <c r="AB15" i="3" s="1"/>
  <c r="N15" i="3" s="1"/>
  <c r="V190" i="3"/>
  <c r="W190" i="3"/>
  <c r="X190" i="3"/>
  <c r="Y190" i="3"/>
  <c r="L183" i="3"/>
  <c r="M183" i="3"/>
  <c r="V183" i="3"/>
  <c r="W183" i="3"/>
  <c r="Y183" i="3"/>
  <c r="L165" i="3"/>
  <c r="M165" i="3"/>
  <c r="O165" i="3"/>
  <c r="Y165" i="3"/>
  <c r="AA165" i="3" s="1"/>
  <c r="AB165" i="3" s="1"/>
  <c r="N165" i="3" s="1"/>
  <c r="J164" i="3"/>
  <c r="L164" i="3"/>
  <c r="M164" i="3"/>
  <c r="T164" i="3"/>
  <c r="V164" i="3"/>
  <c r="X164" i="3"/>
  <c r="Y164" i="3"/>
  <c r="W150" i="3"/>
  <c r="AA150" i="3" s="1"/>
  <c r="AB150" i="3" s="1"/>
  <c r="N150" i="3" s="1"/>
  <c r="K151" i="3"/>
  <c r="L151" i="3"/>
  <c r="M151" i="3"/>
  <c r="X151" i="3"/>
  <c r="AA151" i="3" s="1"/>
  <c r="AB151" i="3" s="1"/>
  <c r="N151" i="3" s="1"/>
  <c r="L143" i="3"/>
  <c r="M143" i="3"/>
  <c r="W143" i="3"/>
  <c r="X143" i="3"/>
  <c r="V62" i="6"/>
  <c r="U62" i="6"/>
  <c r="L62" i="6"/>
  <c r="U139" i="3"/>
  <c r="AA139" i="3" s="1"/>
  <c r="AB139" i="3" s="1"/>
  <c r="N139" i="3" s="1"/>
  <c r="P139" i="3" s="1"/>
  <c r="Q139" i="3" s="1"/>
  <c r="D139" i="3" s="1"/>
  <c r="L129" i="3"/>
  <c r="M129" i="3"/>
  <c r="U129" i="3"/>
  <c r="AA129" i="3" s="1"/>
  <c r="AB129" i="3" s="1"/>
  <c r="N129" i="3" s="1"/>
  <c r="AA125" i="3"/>
  <c r="AB125" i="3" s="1"/>
  <c r="L125" i="3"/>
  <c r="N125" i="3"/>
  <c r="K112" i="3"/>
  <c r="L112" i="3"/>
  <c r="M112" i="3"/>
  <c r="O112" i="3"/>
  <c r="X112" i="3"/>
  <c r="AA112" i="3" s="1"/>
  <c r="AB112" i="3" s="1"/>
  <c r="N112" i="3" s="1"/>
  <c r="K110" i="3"/>
  <c r="L110" i="3"/>
  <c r="M110" i="3"/>
  <c r="O110" i="3"/>
  <c r="AA110" i="3"/>
  <c r="AB110" i="3" s="1"/>
  <c r="N110" i="3" s="1"/>
  <c r="L99" i="3"/>
  <c r="S99" i="3"/>
  <c r="AA99" i="3" s="1"/>
  <c r="AB99" i="3" s="1"/>
  <c r="N99" i="3" s="1"/>
  <c r="V87" i="3"/>
  <c r="X87" i="3"/>
  <c r="Y87" i="3"/>
  <c r="K75" i="3"/>
  <c r="L75" i="3"/>
  <c r="M75" i="3"/>
  <c r="W75" i="3"/>
  <c r="X75" i="3"/>
  <c r="K76" i="3"/>
  <c r="L76" i="3"/>
  <c r="M76" i="3"/>
  <c r="O76" i="3"/>
  <c r="W76" i="3"/>
  <c r="X76" i="3"/>
  <c r="T63" i="3"/>
  <c r="V63" i="3"/>
  <c r="K61" i="3"/>
  <c r="M61" i="3"/>
  <c r="V61" i="3"/>
  <c r="W61" i="3"/>
  <c r="X61" i="3"/>
  <c r="K58" i="3"/>
  <c r="O58" i="3"/>
  <c r="X58" i="3"/>
  <c r="AA58" i="3" s="1"/>
  <c r="AB58" i="3" s="1"/>
  <c r="N58" i="3" s="1"/>
  <c r="T39" i="3"/>
  <c r="V39" i="3"/>
  <c r="V29" i="3"/>
  <c r="AA29" i="3" s="1"/>
  <c r="AB29" i="3" s="1"/>
  <c r="N29" i="3" s="1"/>
  <c r="P29" i="3" s="1"/>
  <c r="Q29" i="3" s="1"/>
  <c r="D29" i="3" s="1"/>
  <c r="T24" i="3"/>
  <c r="V24" i="3"/>
  <c r="K229" i="3"/>
  <c r="L229" i="3"/>
  <c r="M229" i="3"/>
  <c r="O229" i="3"/>
  <c r="Y229" i="3"/>
  <c r="AA229" i="3" s="1"/>
  <c r="AB229" i="3" s="1"/>
  <c r="N229" i="3" s="1"/>
  <c r="K204" i="3"/>
  <c r="L204" i="3"/>
  <c r="M204" i="3"/>
  <c r="N204" i="3"/>
  <c r="O204" i="3"/>
  <c r="K7" i="3"/>
  <c r="L7" i="3"/>
  <c r="M7" i="3"/>
  <c r="S7" i="3"/>
  <c r="U7" i="3"/>
  <c r="V7" i="3"/>
  <c r="W7" i="3"/>
  <c r="X7" i="3"/>
  <c r="M9" i="3"/>
  <c r="O9" i="3"/>
  <c r="V9" i="3"/>
  <c r="W9" i="3"/>
  <c r="X9" i="3"/>
  <c r="L113" i="3"/>
  <c r="M113" i="3"/>
  <c r="X113" i="3"/>
  <c r="Y113" i="3"/>
  <c r="K68" i="3"/>
  <c r="L68" i="3"/>
  <c r="M68" i="3"/>
  <c r="O68" i="3"/>
  <c r="T68" i="3"/>
  <c r="V68" i="3"/>
  <c r="W68" i="3"/>
  <c r="X68" i="3"/>
  <c r="J55" i="3"/>
  <c r="K55" i="3"/>
  <c r="L55" i="3"/>
  <c r="M55" i="3"/>
  <c r="U55" i="3"/>
  <c r="V55" i="3"/>
  <c r="W55" i="3"/>
  <c r="X55" i="3"/>
  <c r="Y55" i="3"/>
  <c r="J60" i="3"/>
  <c r="K60" i="3"/>
  <c r="L60" i="3"/>
  <c r="M60" i="3"/>
  <c r="V60" i="3"/>
  <c r="W60" i="3"/>
  <c r="X60" i="3"/>
  <c r="AA30" i="4"/>
  <c r="AB30" i="4" s="1"/>
  <c r="G42" i="5"/>
  <c r="D42" i="5" s="1"/>
  <c r="X209" i="1"/>
  <c r="J206" i="1"/>
  <c r="K206" i="1"/>
  <c r="M206" i="1"/>
  <c r="W206" i="1"/>
  <c r="X206" i="1"/>
  <c r="W194" i="1"/>
  <c r="W198" i="1"/>
  <c r="N192" i="1"/>
  <c r="P192" i="1" s="1"/>
  <c r="Q192" i="1" s="1"/>
  <c r="D192" i="1" s="1"/>
  <c r="J190" i="1"/>
  <c r="K190" i="1"/>
  <c r="L190" i="1"/>
  <c r="M190" i="1"/>
  <c r="W190" i="1"/>
  <c r="X190" i="1"/>
  <c r="V24" i="2"/>
  <c r="AA24" i="2" s="1"/>
  <c r="AB24" i="2" s="1"/>
  <c r="N24" i="2" s="1"/>
  <c r="P24" i="2" s="1"/>
  <c r="Q24" i="2" s="1"/>
  <c r="D24" i="2" s="1"/>
  <c r="V185" i="1"/>
  <c r="J22" i="1"/>
  <c r="K22" i="1"/>
  <c r="L22" i="1"/>
  <c r="M22" i="1"/>
  <c r="U22" i="1"/>
  <c r="W22" i="1"/>
  <c r="X22" i="1"/>
  <c r="Y22" i="1"/>
  <c r="U173" i="1"/>
  <c r="V173" i="1"/>
  <c r="J20" i="2"/>
  <c r="K20" i="2"/>
  <c r="N147" i="1"/>
  <c r="P147" i="1" s="1"/>
  <c r="Q147" i="1" s="1"/>
  <c r="D147" i="1" s="1"/>
  <c r="J136" i="1"/>
  <c r="K136" i="1"/>
  <c r="L136" i="1"/>
  <c r="X136" i="1"/>
  <c r="K140" i="1"/>
  <c r="L140" i="1"/>
  <c r="M140" i="1"/>
  <c r="X140" i="1"/>
  <c r="U106" i="1"/>
  <c r="V106" i="1"/>
  <c r="W106" i="1"/>
  <c r="X106" i="1"/>
  <c r="K103" i="1"/>
  <c r="L103" i="1"/>
  <c r="M103" i="1"/>
  <c r="V103" i="1"/>
  <c r="W103" i="1"/>
  <c r="X103" i="1"/>
  <c r="N94" i="1"/>
  <c r="P94" i="1" s="1"/>
  <c r="Q94" i="1" s="1"/>
  <c r="D94" i="1" s="1"/>
  <c r="J96" i="1"/>
  <c r="L96" i="1"/>
  <c r="M96" i="1"/>
  <c r="W96" i="1"/>
  <c r="X96" i="1"/>
  <c r="K97" i="1"/>
  <c r="L97" i="1"/>
  <c r="K67" i="1"/>
  <c r="L67" i="1"/>
  <c r="M67" i="1"/>
  <c r="W67" i="1"/>
  <c r="K74" i="1"/>
  <c r="L74" i="1"/>
  <c r="M74" i="1"/>
  <c r="W74" i="1"/>
  <c r="X74" i="1"/>
  <c r="K78" i="1"/>
  <c r="L78" i="1"/>
  <c r="M78" i="1"/>
  <c r="O78" i="1"/>
  <c r="U78" i="1"/>
  <c r="V78" i="1"/>
  <c r="W78" i="1"/>
  <c r="X78" i="1"/>
  <c r="J34" i="2"/>
  <c r="P34" i="2" s="1"/>
  <c r="Q34" i="2" s="1"/>
  <c r="D34" i="2" s="1"/>
  <c r="U56" i="1"/>
  <c r="V56" i="1"/>
  <c r="X56" i="1"/>
  <c r="Y56" i="1"/>
  <c r="J50" i="1"/>
  <c r="P50" i="1" s="1"/>
  <c r="Q50" i="1" s="1"/>
  <c r="D50" i="1" s="1"/>
  <c r="J48" i="1"/>
  <c r="K48" i="1"/>
  <c r="L48" i="1"/>
  <c r="M48" i="1"/>
  <c r="W48" i="1"/>
  <c r="N95" i="3"/>
  <c r="P95" i="3" s="1"/>
  <c r="Q95" i="3" s="1"/>
  <c r="D95" i="3" s="1"/>
  <c r="AA74" i="1" l="1"/>
  <c r="AB74" i="1" s="1"/>
  <c r="N74" i="1" s="1"/>
  <c r="P74" i="1" s="1"/>
  <c r="Q74" i="1" s="1"/>
  <c r="D74" i="1" s="1"/>
  <c r="AA56" i="1"/>
  <c r="AB56" i="1" s="1"/>
  <c r="N56" i="1" s="1"/>
  <c r="P56" i="1" s="1"/>
  <c r="Q56" i="1" s="1"/>
  <c r="D56" i="1" s="1"/>
  <c r="AA173" i="1"/>
  <c r="AB173" i="1" s="1"/>
  <c r="N173" i="1" s="1"/>
  <c r="P173" i="1" s="1"/>
  <c r="Q173" i="1" s="1"/>
  <c r="D173" i="1" s="1"/>
  <c r="AA140" i="1"/>
  <c r="AB140" i="1" s="1"/>
  <c r="N140" i="1" s="1"/>
  <c r="P140" i="1" s="1"/>
  <c r="Q140" i="1" s="1"/>
  <c r="D140" i="1" s="1"/>
  <c r="AA96" i="1"/>
  <c r="AB96" i="1" s="1"/>
  <c r="N96" i="1" s="1"/>
  <c r="P96" i="1" s="1"/>
  <c r="Q96" i="1" s="1"/>
  <c r="D96" i="1" s="1"/>
  <c r="AA206" i="1"/>
  <c r="AB206" i="1" s="1"/>
  <c r="N206" i="1" s="1"/>
  <c r="P206" i="1" s="1"/>
  <c r="Q206" i="1" s="1"/>
  <c r="D206" i="1" s="1"/>
  <c r="AA190" i="1"/>
  <c r="AB190" i="1" s="1"/>
  <c r="N190" i="1" s="1"/>
  <c r="P190" i="1" s="1"/>
  <c r="Q190" i="1" s="1"/>
  <c r="D190" i="1" s="1"/>
  <c r="AA67" i="1"/>
  <c r="AB67" i="1" s="1"/>
  <c r="N67" i="1" s="1"/>
  <c r="P67" i="1" s="1"/>
  <c r="Q67" i="1" s="1"/>
  <c r="D67" i="1" s="1"/>
  <c r="AA194" i="1"/>
  <c r="AB194" i="1" s="1"/>
  <c r="N194" i="1" s="1"/>
  <c r="P194" i="1" s="1"/>
  <c r="Q194" i="1" s="1"/>
  <c r="D194" i="1" s="1"/>
  <c r="AA22" i="1"/>
  <c r="AB22" i="1" s="1"/>
  <c r="N22" i="1" s="1"/>
  <c r="P22" i="1" s="1"/>
  <c r="Q22" i="1" s="1"/>
  <c r="D22" i="1" s="1"/>
  <c r="AA48" i="1"/>
  <c r="AB48" i="1" s="1"/>
  <c r="N48" i="1" s="1"/>
  <c r="P48" i="1" s="1"/>
  <c r="Q48" i="1" s="1"/>
  <c r="D48" i="1" s="1"/>
  <c r="AA198" i="1"/>
  <c r="AB198" i="1" s="1"/>
  <c r="N198" i="1" s="1"/>
  <c r="P198" i="1" s="1"/>
  <c r="Q198" i="1" s="1"/>
  <c r="D198" i="1" s="1"/>
  <c r="AA106" i="1"/>
  <c r="AB106" i="1" s="1"/>
  <c r="N106" i="1" s="1"/>
  <c r="P106" i="1" s="1"/>
  <c r="Q106" i="1" s="1"/>
  <c r="D106" i="1" s="1"/>
  <c r="P97" i="1"/>
  <c r="Q97" i="1" s="1"/>
  <c r="D97" i="1" s="1"/>
  <c r="AA78" i="1"/>
  <c r="AB78" i="1" s="1"/>
  <c r="N78" i="1" s="1"/>
  <c r="P78" i="1" s="1"/>
  <c r="Q78" i="1" s="1"/>
  <c r="D78" i="1" s="1"/>
  <c r="AA136" i="1"/>
  <c r="AB136" i="1" s="1"/>
  <c r="N136" i="1" s="1"/>
  <c r="P136" i="1" s="1"/>
  <c r="Q136" i="1" s="1"/>
  <c r="D136" i="1" s="1"/>
  <c r="AA103" i="1"/>
  <c r="AB103" i="1" s="1"/>
  <c r="N103" i="1" s="1"/>
  <c r="P103" i="1" s="1"/>
  <c r="Q103" i="1" s="1"/>
  <c r="D103" i="1" s="1"/>
  <c r="AA185" i="1"/>
  <c r="AB185" i="1" s="1"/>
  <c r="N185" i="1" s="1"/>
  <c r="P185" i="1" s="1"/>
  <c r="Q185" i="1" s="1"/>
  <c r="D185" i="1" s="1"/>
  <c r="AA209" i="1"/>
  <c r="AB209" i="1" s="1"/>
  <c r="N209" i="1" s="1"/>
  <c r="P209" i="1" s="1"/>
  <c r="Q209" i="1" s="1"/>
  <c r="D209" i="1" s="1"/>
  <c r="AA62" i="6"/>
  <c r="AB62" i="6" s="1"/>
  <c r="N62" i="6" s="1"/>
  <c r="P62" i="6" s="1"/>
  <c r="Q31" i="4"/>
  <c r="AA10" i="4"/>
  <c r="AB10" i="4" s="1"/>
  <c r="N10" i="4" s="1"/>
  <c r="Q169" i="3"/>
  <c r="D169" i="3" s="1"/>
  <c r="Q231" i="3"/>
  <c r="D231" i="3" s="1"/>
  <c r="P127" i="3"/>
  <c r="Q127" i="3" s="1"/>
  <c r="D127" i="3" s="1"/>
  <c r="P213" i="3"/>
  <c r="Q213" i="3" s="1"/>
  <c r="D213" i="3" s="1"/>
  <c r="P15" i="3"/>
  <c r="Q15" i="3" s="1"/>
  <c r="D15" i="3" s="1"/>
  <c r="Q181" i="3"/>
  <c r="D181" i="3" s="1"/>
  <c r="Q275" i="3"/>
  <c r="D275" i="3" s="1"/>
  <c r="Q156" i="3"/>
  <c r="D156" i="3" s="1"/>
  <c r="P218" i="3"/>
  <c r="Q218" i="3" s="1"/>
  <c r="D218" i="3" s="1"/>
  <c r="P130" i="3"/>
  <c r="Q130" i="3" s="1"/>
  <c r="D130" i="3" s="1"/>
  <c r="Q96" i="3"/>
  <c r="D96" i="3" s="1"/>
  <c r="P110" i="3"/>
  <c r="Q110" i="3" s="1"/>
  <c r="D110" i="3" s="1"/>
  <c r="P165" i="3"/>
  <c r="Q165" i="3" s="1"/>
  <c r="D165" i="3" s="1"/>
  <c r="P129" i="3"/>
  <c r="Q129" i="3" s="1"/>
  <c r="D129" i="3" s="1"/>
  <c r="P58" i="3"/>
  <c r="Q58" i="3" s="1"/>
  <c r="D58" i="3" s="1"/>
  <c r="P112" i="3"/>
  <c r="Q112" i="3" s="1"/>
  <c r="D112" i="3" s="1"/>
  <c r="P119" i="3"/>
  <c r="Q119" i="3" s="1"/>
  <c r="D119" i="3" s="1"/>
  <c r="P125" i="3"/>
  <c r="Q125" i="3" s="1"/>
  <c r="D125" i="3" s="1"/>
  <c r="P204" i="3"/>
  <c r="Q204" i="3" s="1"/>
  <c r="D204" i="3" s="1"/>
  <c r="P86" i="3"/>
  <c r="Q86" i="3" s="1"/>
  <c r="D86" i="3" s="1"/>
  <c r="P209" i="3"/>
  <c r="Q209" i="3" s="1"/>
  <c r="D209" i="3" s="1"/>
  <c r="P229" i="3"/>
  <c r="Q229" i="3" s="1"/>
  <c r="D229" i="3" s="1"/>
  <c r="P99" i="3"/>
  <c r="Q99" i="3" s="1"/>
  <c r="D99" i="3" s="1"/>
  <c r="P166" i="3"/>
  <c r="Q166" i="3" s="1"/>
  <c r="D166" i="3" s="1"/>
  <c r="P151" i="3"/>
  <c r="Q151" i="3" s="1"/>
  <c r="D151" i="3" s="1"/>
  <c r="P104" i="3"/>
  <c r="Q104" i="3" s="1"/>
  <c r="D104" i="3" s="1"/>
  <c r="P176" i="3"/>
  <c r="Q176" i="3" s="1"/>
  <c r="D176" i="3" s="1"/>
  <c r="P216" i="3"/>
  <c r="Q216" i="3" s="1"/>
  <c r="D216" i="3" s="1"/>
  <c r="Q48" i="3"/>
  <c r="D48" i="3" s="1"/>
  <c r="P224" i="3"/>
  <c r="Q224" i="3" s="1"/>
  <c r="D224" i="3" s="1"/>
  <c r="P135" i="3"/>
  <c r="Q135" i="3" s="1"/>
  <c r="D135" i="3" s="1"/>
  <c r="P233" i="3"/>
  <c r="Q233" i="3" s="1"/>
  <c r="D233" i="3" s="1"/>
  <c r="P150" i="3"/>
  <c r="Q150" i="3" s="1"/>
  <c r="D150" i="3" s="1"/>
  <c r="P235" i="3"/>
  <c r="Q235" i="3" s="1"/>
  <c r="D235" i="3" s="1"/>
  <c r="P258" i="3"/>
  <c r="Q258" i="3" s="1"/>
  <c r="D258" i="3" s="1"/>
  <c r="P15" i="4"/>
  <c r="Q15" i="4" s="1"/>
  <c r="D15" i="4" s="1"/>
  <c r="AA9" i="4"/>
  <c r="AB9" i="4" s="1"/>
  <c r="N9" i="4" s="1"/>
  <c r="P9" i="4" s="1"/>
  <c r="Q9" i="4" s="1"/>
  <c r="D9" i="4" s="1"/>
  <c r="P10" i="4"/>
  <c r="Q10" i="4" s="1"/>
  <c r="D10" i="4" s="1"/>
  <c r="P20" i="2"/>
  <c r="Q20" i="2" s="1"/>
  <c r="D20" i="2" s="1"/>
  <c r="AA237" i="3"/>
  <c r="AB237" i="3" s="1"/>
  <c r="N237" i="3" s="1"/>
  <c r="AA239" i="3"/>
  <c r="AB239" i="3" s="1"/>
  <c r="N239" i="3" s="1"/>
  <c r="P239" i="3" s="1"/>
  <c r="Q239" i="3" s="1"/>
  <c r="D239" i="3" s="1"/>
  <c r="AA232" i="3"/>
  <c r="AB232" i="3" s="1"/>
  <c r="N232" i="3" s="1"/>
  <c r="AA75" i="3"/>
  <c r="AB75" i="3" s="1"/>
  <c r="N75" i="3" s="1"/>
  <c r="P75" i="3" s="1"/>
  <c r="Q75" i="3" s="1"/>
  <c r="D75" i="3" s="1"/>
  <c r="AA183" i="3"/>
  <c r="AB183" i="3" s="1"/>
  <c r="N183" i="3" s="1"/>
  <c r="AA190" i="3"/>
  <c r="AB190" i="3" s="1"/>
  <c r="N190" i="3" s="1"/>
  <c r="AA164" i="3"/>
  <c r="AB164" i="3" s="1"/>
  <c r="N164" i="3" s="1"/>
  <c r="AA143" i="3"/>
  <c r="AB143" i="3" s="1"/>
  <c r="N143" i="3" s="1"/>
  <c r="AA87" i="3"/>
  <c r="AB87" i="3" s="1"/>
  <c r="N87" i="3" s="1"/>
  <c r="AA63" i="3"/>
  <c r="AB63" i="3" s="1"/>
  <c r="N63" i="3" s="1"/>
  <c r="AA39" i="3"/>
  <c r="AB39" i="3" s="1"/>
  <c r="N39" i="3" s="1"/>
  <c r="AA76" i="3"/>
  <c r="AB76" i="3" s="1"/>
  <c r="N76" i="3" s="1"/>
  <c r="AA61" i="3"/>
  <c r="AB61" i="3" s="1"/>
  <c r="N61" i="3" s="1"/>
  <c r="AA24" i="3"/>
  <c r="AB24" i="3" s="1"/>
  <c r="N24" i="3" s="1"/>
  <c r="AA68" i="3"/>
  <c r="AB68" i="3" s="1"/>
  <c r="N68" i="3" s="1"/>
  <c r="P68" i="3" s="1"/>
  <c r="Q68" i="3" s="1"/>
  <c r="D68" i="3" s="1"/>
  <c r="AA55" i="3"/>
  <c r="AB55" i="3" s="1"/>
  <c r="N55" i="3" s="1"/>
  <c r="AA9" i="3"/>
  <c r="AB9" i="3" s="1"/>
  <c r="N9" i="3" s="1"/>
  <c r="AA7" i="3"/>
  <c r="AB7" i="3" s="1"/>
  <c r="N7" i="3" s="1"/>
  <c r="AA113" i="3"/>
  <c r="AB113" i="3" s="1"/>
  <c r="N113" i="3" s="1"/>
  <c r="P113" i="3" s="1"/>
  <c r="Q113" i="3" s="1"/>
  <c r="D113" i="3" s="1"/>
  <c r="AA60" i="3"/>
  <c r="AB60" i="3" s="1"/>
  <c r="N60" i="3" s="1"/>
  <c r="P60" i="3" s="1"/>
  <c r="Q60" i="3" s="1"/>
  <c r="D60" i="3" s="1"/>
  <c r="J11" i="3"/>
  <c r="J14" i="3"/>
  <c r="J6" i="3"/>
  <c r="J192" i="3"/>
  <c r="J248" i="3"/>
  <c r="J245" i="3"/>
  <c r="J122" i="3"/>
  <c r="J153" i="3"/>
  <c r="J318" i="3"/>
  <c r="P318" i="3" s="1"/>
  <c r="Q318" i="3" s="1"/>
  <c r="D318" i="3" s="1"/>
  <c r="J203" i="3"/>
  <c r="O37" i="1"/>
  <c r="J78" i="3"/>
  <c r="J201" i="3"/>
  <c r="J322" i="3"/>
  <c r="J284" i="3"/>
  <c r="J297" i="3"/>
  <c r="P297" i="3" s="1"/>
  <c r="Q297" i="3" s="1"/>
  <c r="D297" i="3" s="1"/>
  <c r="J299" i="3"/>
  <c r="P299" i="3" s="1"/>
  <c r="Q299" i="3" s="1"/>
  <c r="D299" i="3" s="1"/>
  <c r="J316" i="3"/>
  <c r="P316" i="3" s="1"/>
  <c r="Q316" i="3" s="1"/>
  <c r="D316" i="3" s="1"/>
  <c r="J283" i="3"/>
  <c r="P283" i="3" s="1"/>
  <c r="Q283" i="3" s="1"/>
  <c r="D283" i="3" s="1"/>
  <c r="J6" i="2"/>
  <c r="J28" i="1"/>
  <c r="J23" i="1"/>
  <c r="J21" i="1"/>
  <c r="J6" i="1"/>
  <c r="J9" i="1"/>
  <c r="J25" i="1"/>
  <c r="J41" i="6"/>
  <c r="J21" i="6"/>
  <c r="J16" i="6"/>
  <c r="J9" i="6"/>
  <c r="J7" i="6"/>
  <c r="J128" i="6"/>
  <c r="P128" i="6" s="1"/>
  <c r="J24" i="6"/>
  <c r="J8" i="3"/>
  <c r="J19" i="3"/>
  <c r="J28" i="4"/>
  <c r="J30" i="2"/>
  <c r="J14" i="2"/>
  <c r="J19" i="2"/>
  <c r="J295" i="3"/>
  <c r="P295" i="3" s="1"/>
  <c r="Q295" i="3" s="1"/>
  <c r="D295" i="3" s="1"/>
  <c r="J290" i="3"/>
  <c r="P290" i="3" s="1"/>
  <c r="Q290" i="3" s="1"/>
  <c r="D290" i="3" s="1"/>
  <c r="J286" i="3"/>
  <c r="P286" i="3" s="1"/>
  <c r="Q286" i="3" s="1"/>
  <c r="D286" i="3" s="1"/>
  <c r="J273" i="3"/>
  <c r="P273" i="3" s="1"/>
  <c r="Q273" i="3" s="1"/>
  <c r="D273" i="3" s="1"/>
  <c r="J291" i="3"/>
  <c r="P291" i="3" s="1"/>
  <c r="Q291" i="3" s="1"/>
  <c r="D291" i="3" s="1"/>
  <c r="J187" i="3"/>
  <c r="J171" i="3"/>
  <c r="J184" i="3"/>
  <c r="J185" i="3"/>
  <c r="J241" i="3"/>
  <c r="J162" i="3"/>
  <c r="J193" i="3"/>
  <c r="J116" i="3"/>
  <c r="J74" i="3"/>
  <c r="J102" i="3"/>
  <c r="J118" i="3"/>
  <c r="J94" i="3"/>
  <c r="J108" i="3"/>
  <c r="J210" i="3"/>
  <c r="J86" i="1"/>
  <c r="J8" i="1"/>
  <c r="J30" i="1"/>
  <c r="J12" i="1"/>
  <c r="J29" i="1"/>
  <c r="J15" i="1"/>
  <c r="J32" i="1"/>
  <c r="J14" i="1"/>
  <c r="J87" i="1"/>
  <c r="J169" i="1"/>
  <c r="J90" i="1"/>
  <c r="J57" i="1"/>
  <c r="J45" i="1"/>
  <c r="J24" i="1"/>
  <c r="J89" i="1"/>
  <c r="J37" i="1"/>
  <c r="J11" i="1"/>
  <c r="J26" i="1"/>
  <c r="J18" i="1"/>
  <c r="J19" i="1"/>
  <c r="J13" i="1"/>
  <c r="J134" i="1"/>
  <c r="K6" i="1"/>
  <c r="K8" i="1"/>
  <c r="K9" i="1"/>
  <c r="K12" i="1"/>
  <c r="K16" i="1"/>
  <c r="K17" i="1"/>
  <c r="K20" i="1"/>
  <c r="K23" i="1"/>
  <c r="K31" i="1"/>
  <c r="K32" i="1"/>
  <c r="K35" i="1"/>
  <c r="K45" i="1"/>
  <c r="K52" i="1"/>
  <c r="K54" i="1"/>
  <c r="K57" i="1"/>
  <c r="K68" i="1"/>
  <c r="K71" i="1"/>
  <c r="K75" i="1"/>
  <c r="K76" i="1"/>
  <c r="K83" i="1"/>
  <c r="K87" i="1"/>
  <c r="K89" i="1"/>
  <c r="K90" i="1"/>
  <c r="K11" i="1"/>
  <c r="K13" i="1"/>
  <c r="K116" i="1"/>
  <c r="K117" i="1"/>
  <c r="K119" i="1"/>
  <c r="K135" i="1"/>
  <c r="K138" i="1"/>
  <c r="K142" i="1"/>
  <c r="K158" i="1"/>
  <c r="K18" i="1"/>
  <c r="K19" i="1"/>
  <c r="K21" i="1"/>
  <c r="K24" i="1"/>
  <c r="K27" i="1"/>
  <c r="K28" i="1"/>
  <c r="K210" i="1"/>
  <c r="K60" i="1"/>
  <c r="K91" i="1"/>
  <c r="K14" i="1"/>
  <c r="K144" i="1"/>
  <c r="K145" i="1"/>
  <c r="K166" i="1"/>
  <c r="K174" i="1"/>
  <c r="K214" i="1"/>
  <c r="I38" i="5"/>
  <c r="I15" i="5"/>
  <c r="I35" i="5"/>
  <c r="I26" i="5"/>
  <c r="I49" i="5"/>
  <c r="I7" i="5"/>
  <c r="I12" i="5"/>
  <c r="I34" i="5"/>
  <c r="I39" i="5"/>
  <c r="I30" i="5"/>
  <c r="I40" i="5"/>
  <c r="I24" i="5"/>
  <c r="O16" i="3"/>
  <c r="K85" i="6"/>
  <c r="K87" i="6"/>
  <c r="K29" i="6"/>
  <c r="K109" i="3"/>
  <c r="P109" i="3" s="1"/>
  <c r="Q109" i="3" s="1"/>
  <c r="D109" i="3" s="1"/>
  <c r="K123" i="3"/>
  <c r="K40" i="3"/>
  <c r="K27" i="3"/>
  <c r="K245" i="3"/>
  <c r="K193" i="3"/>
  <c r="K192" i="3"/>
  <c r="K222" i="3"/>
  <c r="P222" i="3" s="1"/>
  <c r="Q222" i="3" s="1"/>
  <c r="D222" i="3" s="1"/>
  <c r="K153" i="3"/>
  <c r="K122" i="3"/>
  <c r="K248" i="3"/>
  <c r="K203" i="3"/>
  <c r="K201" i="3"/>
  <c r="K11" i="3"/>
  <c r="K90" i="3"/>
  <c r="K51" i="3"/>
  <c r="K63" i="6"/>
  <c r="K32" i="6"/>
  <c r="K9" i="6"/>
  <c r="K10" i="6"/>
  <c r="K6" i="6"/>
  <c r="K45" i="6"/>
  <c r="K55" i="6"/>
  <c r="K124" i="6"/>
  <c r="K24" i="6"/>
  <c r="K16" i="3"/>
  <c r="K20" i="3"/>
  <c r="K13" i="3"/>
  <c r="K19" i="3"/>
  <c r="K23" i="4"/>
  <c r="K27" i="4"/>
  <c r="K26" i="4"/>
  <c r="K28" i="4"/>
  <c r="K167" i="3"/>
  <c r="K240" i="3"/>
  <c r="K64" i="3"/>
  <c r="P64" i="3" s="1"/>
  <c r="Q64" i="3" s="1"/>
  <c r="D64" i="3" s="1"/>
  <c r="K208" i="3"/>
  <c r="P208" i="3" s="1"/>
  <c r="Q208" i="3" s="1"/>
  <c r="D208" i="3" s="1"/>
  <c r="K140" i="3"/>
  <c r="K158" i="3"/>
  <c r="K18" i="3"/>
  <c r="K12" i="3"/>
  <c r="K17" i="3"/>
  <c r="K14" i="3"/>
  <c r="K174" i="3"/>
  <c r="K144" i="3"/>
  <c r="K137" i="3"/>
  <c r="P137" i="3" s="1"/>
  <c r="Q137" i="3" s="1"/>
  <c r="D137" i="3" s="1"/>
  <c r="K74" i="3"/>
  <c r="K241" i="3"/>
  <c r="K162" i="3"/>
  <c r="K230" i="3"/>
  <c r="K226" i="3"/>
  <c r="K118" i="3"/>
  <c r="K43" i="3"/>
  <c r="K194" i="3"/>
  <c r="K107" i="3"/>
  <c r="K94" i="3"/>
  <c r="K210" i="3"/>
  <c r="K56" i="3"/>
  <c r="K184" i="3"/>
  <c r="K121" i="3"/>
  <c r="K185" i="3"/>
  <c r="K100" i="3"/>
  <c r="K93" i="3"/>
  <c r="K198" i="3"/>
  <c r="K78" i="3"/>
  <c r="K79" i="3"/>
  <c r="P79" i="3" s="1"/>
  <c r="Q79" i="3" s="1"/>
  <c r="D79" i="3" s="1"/>
  <c r="K116" i="3"/>
  <c r="K171" i="3"/>
  <c r="K108" i="3"/>
  <c r="K26" i="2"/>
  <c r="K8" i="2"/>
  <c r="K15" i="2"/>
  <c r="K19" i="2"/>
  <c r="K6" i="2"/>
  <c r="J15" i="5"/>
  <c r="J33" i="5"/>
  <c r="J11" i="5"/>
  <c r="J35" i="5"/>
  <c r="J20" i="5"/>
  <c r="J12" i="5"/>
  <c r="J32" i="5"/>
  <c r="J23" i="5"/>
  <c r="J34" i="5"/>
  <c r="J30" i="5"/>
  <c r="J24" i="5"/>
  <c r="Q128" i="6" l="1"/>
  <c r="D128" i="6" s="1"/>
  <c r="Q62" i="6"/>
  <c r="D62" i="6" s="1"/>
  <c r="P108" i="3"/>
  <c r="Q108" i="3" s="1"/>
  <c r="D108" i="3" s="1"/>
  <c r="P143" i="3"/>
  <c r="Q143" i="3" s="1"/>
  <c r="D143" i="3" s="1"/>
  <c r="P9" i="3"/>
  <c r="Q9" i="3" s="1"/>
  <c r="D9" i="3" s="1"/>
  <c r="P24" i="3"/>
  <c r="Q24" i="3" s="1"/>
  <c r="D24" i="3" s="1"/>
  <c r="P190" i="3"/>
  <c r="Q190" i="3" s="1"/>
  <c r="D190" i="3" s="1"/>
  <c r="P7" i="3"/>
  <c r="Q7" i="3" s="1"/>
  <c r="D7" i="3" s="1"/>
  <c r="P76" i="3"/>
  <c r="Q76" i="3" s="1"/>
  <c r="D76" i="3" s="1"/>
  <c r="P192" i="3"/>
  <c r="Q192" i="3" s="1"/>
  <c r="D192" i="3" s="1"/>
  <c r="P39" i="3"/>
  <c r="Q39" i="3" s="1"/>
  <c r="D39" i="3" s="1"/>
  <c r="P183" i="3"/>
  <c r="Q183" i="3" s="1"/>
  <c r="D183" i="3" s="1"/>
  <c r="P55" i="3"/>
  <c r="Q55" i="3" s="1"/>
  <c r="D55" i="3" s="1"/>
  <c r="P63" i="3"/>
  <c r="Q63" i="3" s="1"/>
  <c r="D63" i="3" s="1"/>
  <c r="P232" i="3"/>
  <c r="Q232" i="3" s="1"/>
  <c r="D232" i="3" s="1"/>
  <c r="P87" i="3"/>
  <c r="Q87" i="3" s="1"/>
  <c r="D87" i="3" s="1"/>
  <c r="P284" i="3"/>
  <c r="Q284" i="3" s="1"/>
  <c r="D284" i="3" s="1"/>
  <c r="P164" i="3"/>
  <c r="Q164" i="3" s="1"/>
  <c r="D164" i="3" s="1"/>
  <c r="P61" i="3"/>
  <c r="Q61" i="3" s="1"/>
  <c r="D61" i="3" s="1"/>
  <c r="P322" i="3"/>
  <c r="Q322" i="3" s="1"/>
  <c r="D322" i="3" s="1"/>
  <c r="P237" i="3"/>
  <c r="Q237" i="3" s="1"/>
  <c r="D237" i="3" s="1"/>
  <c r="P55" i="6"/>
  <c r="P30" i="2"/>
  <c r="Q30" i="2" s="1"/>
  <c r="D30" i="2" s="1"/>
  <c r="O34" i="5"/>
  <c r="P34" i="5" s="1"/>
  <c r="D34" i="5" s="1"/>
  <c r="O38" i="5"/>
  <c r="P38" i="5" s="1"/>
  <c r="D38" i="5" s="1"/>
  <c r="O20" i="5"/>
  <c r="P20" i="5" s="1"/>
  <c r="D20" i="5" s="1"/>
  <c r="O40" i="5"/>
  <c r="P40" i="5" s="1"/>
  <c r="D40" i="5" s="1"/>
  <c r="O39" i="5"/>
  <c r="P39" i="5" s="1"/>
  <c r="D39" i="5" s="1"/>
  <c r="O11" i="5"/>
  <c r="P11" i="5" s="1"/>
  <c r="D11" i="5" s="1"/>
  <c r="O49" i="5"/>
  <c r="P49" i="5" s="1"/>
  <c r="D49" i="5" s="1"/>
  <c r="O33" i="5"/>
  <c r="P33" i="5" s="1"/>
  <c r="D33" i="5" s="1"/>
  <c r="L225" i="3"/>
  <c r="P225" i="3" s="1"/>
  <c r="Q225" i="3" s="1"/>
  <c r="D225" i="3" s="1"/>
  <c r="L257" i="3"/>
  <c r="P257" i="3" s="1"/>
  <c r="Q257" i="3" s="1"/>
  <c r="D257" i="3" s="1"/>
  <c r="L147" i="3"/>
  <c r="P147" i="3" s="1"/>
  <c r="Q147" i="3" s="1"/>
  <c r="D147" i="3" s="1"/>
  <c r="L73" i="3"/>
  <c r="P73" i="3" s="1"/>
  <c r="Q73" i="3" s="1"/>
  <c r="D73" i="3" s="1"/>
  <c r="L21" i="3"/>
  <c r="P21" i="3" s="1"/>
  <c r="Q21" i="3" s="1"/>
  <c r="D21" i="3" s="1"/>
  <c r="L10" i="3"/>
  <c r="L25" i="3"/>
  <c r="P25" i="3" s="1"/>
  <c r="Q25" i="3" s="1"/>
  <c r="D25" i="3" s="1"/>
  <c r="L37" i="3"/>
  <c r="L17" i="3"/>
  <c r="L6" i="3"/>
  <c r="L205" i="3"/>
  <c r="P205" i="3" s="1"/>
  <c r="Q205" i="3" s="1"/>
  <c r="D205" i="3" s="1"/>
  <c r="L84" i="3"/>
  <c r="P84" i="3" s="1"/>
  <c r="Q84" i="3" s="1"/>
  <c r="D84" i="3" s="1"/>
  <c r="L195" i="3"/>
  <c r="L12" i="4"/>
  <c r="L193" i="3"/>
  <c r="L245" i="3"/>
  <c r="P245" i="3" s="1"/>
  <c r="Q245" i="3" s="1"/>
  <c r="D245" i="3" s="1"/>
  <c r="L172" i="3"/>
  <c r="P172" i="3" s="1"/>
  <c r="Q172" i="3" s="1"/>
  <c r="D172" i="3" s="1"/>
  <c r="L59" i="3"/>
  <c r="P59" i="3" s="1"/>
  <c r="Q59" i="3" s="1"/>
  <c r="D59" i="3" s="1"/>
  <c r="L153" i="3"/>
  <c r="L122" i="3"/>
  <c r="N101" i="3"/>
  <c r="L107" i="3"/>
  <c r="L43" i="3"/>
  <c r="L230" i="3"/>
  <c r="L248" i="3"/>
  <c r="L203" i="3"/>
  <c r="L214" i="3"/>
  <c r="L194" i="3"/>
  <c r="L249" i="3"/>
  <c r="L201" i="3"/>
  <c r="L40" i="3"/>
  <c r="L27" i="3"/>
  <c r="L114" i="3"/>
  <c r="L167" i="3"/>
  <c r="L11" i="3"/>
  <c r="L82" i="3"/>
  <c r="P82" i="3" s="1"/>
  <c r="Q82" i="3" s="1"/>
  <c r="D82" i="3" s="1"/>
  <c r="N37" i="3"/>
  <c r="L47" i="3"/>
  <c r="L23" i="4"/>
  <c r="L65" i="3"/>
  <c r="P65" i="3" s="1"/>
  <c r="Q65" i="3" s="1"/>
  <c r="D65" i="3" s="1"/>
  <c r="L31" i="3"/>
  <c r="L158" i="3"/>
  <c r="L240" i="3"/>
  <c r="L106" i="3"/>
  <c r="P106" i="3" s="1"/>
  <c r="Q106" i="3" s="1"/>
  <c r="D106" i="3" s="1"/>
  <c r="L77" i="3"/>
  <c r="P77" i="3" s="1"/>
  <c r="Q77" i="3" s="1"/>
  <c r="D77" i="3" s="1"/>
  <c r="L207" i="3"/>
  <c r="L219" i="3"/>
  <c r="L80" i="3"/>
  <c r="P80" i="3" s="1"/>
  <c r="Q80" i="3" s="1"/>
  <c r="D80" i="3" s="1"/>
  <c r="L14" i="3"/>
  <c r="L140" i="3"/>
  <c r="L8" i="3"/>
  <c r="L20" i="3"/>
  <c r="L189" i="3"/>
  <c r="P189" i="3" s="1"/>
  <c r="Q189" i="3" s="1"/>
  <c r="D189" i="3" s="1"/>
  <c r="L12" i="3"/>
  <c r="L16" i="3"/>
  <c r="L13" i="3"/>
  <c r="L19" i="3"/>
  <c r="L62" i="3"/>
  <c r="N62" i="3"/>
  <c r="L49" i="3"/>
  <c r="P49" i="3" s="1"/>
  <c r="Q49" i="3" s="1"/>
  <c r="D49" i="3" s="1"/>
  <c r="L20" i="4"/>
  <c r="L42" i="3"/>
  <c r="L221" i="3"/>
  <c r="P221" i="3" s="1"/>
  <c r="Q221" i="3" s="1"/>
  <c r="D221" i="3" s="1"/>
  <c r="L23" i="3"/>
  <c r="N33" i="3"/>
  <c r="P33" i="3" s="1"/>
  <c r="Q33" i="3" s="1"/>
  <c r="D33" i="3" s="1"/>
  <c r="L35" i="3"/>
  <c r="N81" i="3"/>
  <c r="P81" i="3" s="1"/>
  <c r="Q81" i="3" s="1"/>
  <c r="D81" i="3" s="1"/>
  <c r="L26" i="4"/>
  <c r="L94" i="3"/>
  <c r="L28" i="4"/>
  <c r="L28" i="3"/>
  <c r="P28" i="3" s="1"/>
  <c r="Q28" i="3" s="1"/>
  <c r="D28" i="3" s="1"/>
  <c r="L136" i="3"/>
  <c r="L210" i="3"/>
  <c r="L199" i="3"/>
  <c r="L185" i="3"/>
  <c r="L116" i="3"/>
  <c r="L184" i="3"/>
  <c r="P184" i="3" s="1"/>
  <c r="Q184" i="3" s="1"/>
  <c r="D184" i="3" s="1"/>
  <c r="L51" i="3"/>
  <c r="L50" i="3"/>
  <c r="P50" i="3" s="1"/>
  <c r="Q50" i="3" s="1"/>
  <c r="D50" i="3" s="1"/>
  <c r="L7" i="4"/>
  <c r="L162" i="3"/>
  <c r="L220" i="3"/>
  <c r="P220" i="3" s="1"/>
  <c r="Q220" i="3" s="1"/>
  <c r="D220" i="3" s="1"/>
  <c r="L101" i="3"/>
  <c r="L100" i="3"/>
  <c r="L102" i="3"/>
  <c r="L226" i="3"/>
  <c r="L124" i="3"/>
  <c r="L66" i="3"/>
  <c r="P66" i="3" s="1"/>
  <c r="Q66" i="3" s="1"/>
  <c r="D66" i="3" s="1"/>
  <c r="L241" i="3"/>
  <c r="L155" i="3"/>
  <c r="L198" i="3"/>
  <c r="P198" i="3" s="1"/>
  <c r="Q198" i="3" s="1"/>
  <c r="D198" i="3" s="1"/>
  <c r="L187" i="3"/>
  <c r="P187" i="3" s="1"/>
  <c r="Q187" i="3" s="1"/>
  <c r="D187" i="3" s="1"/>
  <c r="L78" i="3"/>
  <c r="L126" i="3"/>
  <c r="L90" i="3"/>
  <c r="L32" i="3"/>
  <c r="P32" i="3" s="1"/>
  <c r="Q32" i="3" s="1"/>
  <c r="D32" i="3" s="1"/>
  <c r="L74" i="3"/>
  <c r="L118" i="3"/>
  <c r="L174" i="3"/>
  <c r="L25" i="4"/>
  <c r="N25" i="4"/>
  <c r="L13" i="8"/>
  <c r="N13" i="8"/>
  <c r="L7" i="8"/>
  <c r="L105" i="6"/>
  <c r="L25" i="6"/>
  <c r="L99" i="6"/>
  <c r="O20" i="3"/>
  <c r="L85" i="6"/>
  <c r="L6" i="6"/>
  <c r="L14" i="6"/>
  <c r="L13" i="6"/>
  <c r="L75" i="6"/>
  <c r="L77" i="6"/>
  <c r="L116" i="6"/>
  <c r="L30" i="6"/>
  <c r="L31" i="6"/>
  <c r="L44" i="6"/>
  <c r="L41" i="6"/>
  <c r="L63" i="6"/>
  <c r="L7" i="6"/>
  <c r="L9" i="6"/>
  <c r="L45" i="6"/>
  <c r="L10" i="6"/>
  <c r="L17" i="6"/>
  <c r="L32" i="6"/>
  <c r="N32" i="6"/>
  <c r="L49" i="1"/>
  <c r="L12" i="1"/>
  <c r="L8" i="1"/>
  <c r="L16" i="1"/>
  <c r="L31" i="1"/>
  <c r="L15" i="1"/>
  <c r="L9" i="1"/>
  <c r="L6" i="1"/>
  <c r="L30" i="1"/>
  <c r="L6" i="2"/>
  <c r="L25" i="1"/>
  <c r="L37" i="1"/>
  <c r="L21" i="1"/>
  <c r="L23" i="1"/>
  <c r="L28" i="1"/>
  <c r="L10" i="2"/>
  <c r="L125" i="1"/>
  <c r="L68" i="1"/>
  <c r="L21" i="2"/>
  <c r="L29" i="1"/>
  <c r="L101" i="1"/>
  <c r="L14" i="2"/>
  <c r="L27" i="1"/>
  <c r="L17" i="1"/>
  <c r="L20" i="1"/>
  <c r="L146" i="1"/>
  <c r="L138" i="1"/>
  <c r="L11" i="2"/>
  <c r="L52" i="1"/>
  <c r="L26" i="2"/>
  <c r="L145" i="1"/>
  <c r="L86" i="1"/>
  <c r="L91" i="1"/>
  <c r="L24" i="1"/>
  <c r="L19" i="2"/>
  <c r="L117" i="1"/>
  <c r="L9" i="2"/>
  <c r="L76" i="1"/>
  <c r="L199" i="1"/>
  <c r="L18" i="1"/>
  <c r="L158" i="1"/>
  <c r="L62" i="1"/>
  <c r="L89" i="1"/>
  <c r="L8" i="2"/>
  <c r="L11" i="1"/>
  <c r="L119" i="1"/>
  <c r="L132" i="1"/>
  <c r="L13" i="1"/>
  <c r="Q55" i="6" l="1"/>
  <c r="D55" i="6" s="1"/>
  <c r="P13" i="8"/>
  <c r="Q13" i="8" s="1"/>
  <c r="P101" i="3"/>
  <c r="Q101" i="3" s="1"/>
  <c r="D101" i="3" s="1"/>
  <c r="P37" i="3"/>
  <c r="Q37" i="3" s="1"/>
  <c r="D37" i="3" s="1"/>
  <c r="P62" i="3"/>
  <c r="Q62" i="3" s="1"/>
  <c r="D62" i="3" s="1"/>
  <c r="P7" i="8"/>
  <c r="Q7" i="8" s="1"/>
  <c r="P31" i="6"/>
  <c r="P44" i="6"/>
  <c r="P30" i="6"/>
  <c r="P32" i="6"/>
  <c r="P17" i="6"/>
  <c r="P25" i="4"/>
  <c r="Q25" i="4" s="1"/>
  <c r="D25" i="4" s="1"/>
  <c r="P10" i="2"/>
  <c r="Q10" i="2" s="1"/>
  <c r="D10" i="2" s="1"/>
  <c r="P21" i="2"/>
  <c r="Q21" i="2" s="1"/>
  <c r="D21" i="2" s="1"/>
  <c r="L193" i="1"/>
  <c r="L54" i="1"/>
  <c r="L43" i="1"/>
  <c r="L142" i="1"/>
  <c r="L75" i="1"/>
  <c r="L60" i="1"/>
  <c r="L214" i="1"/>
  <c r="L165" i="1"/>
  <c r="L195" i="1"/>
  <c r="L90" i="1"/>
  <c r="L210" i="1"/>
  <c r="L174" i="1"/>
  <c r="L144" i="1"/>
  <c r="L102" i="1"/>
  <c r="L19" i="1"/>
  <c r="L26" i="1"/>
  <c r="L113" i="1"/>
  <c r="L135" i="1"/>
  <c r="L130" i="1"/>
  <c r="L57" i="1"/>
  <c r="L15" i="2"/>
  <c r="K15" i="5"/>
  <c r="K23" i="5"/>
  <c r="K35" i="5"/>
  <c r="K30" i="5"/>
  <c r="K24" i="5"/>
  <c r="K14" i="5"/>
  <c r="K9" i="5"/>
  <c r="K19" i="5"/>
  <c r="K32" i="5"/>
  <c r="K12" i="5"/>
  <c r="O249" i="3"/>
  <c r="O14" i="3"/>
  <c r="O6" i="3"/>
  <c r="O17" i="3"/>
  <c r="O102" i="3"/>
  <c r="M77" i="6"/>
  <c r="M75" i="6"/>
  <c r="M116" i="6"/>
  <c r="M25" i="6"/>
  <c r="M105" i="6"/>
  <c r="M12" i="6"/>
  <c r="M99" i="6"/>
  <c r="M10" i="6"/>
  <c r="M105" i="3"/>
  <c r="P105" i="3" s="1"/>
  <c r="Q105" i="3" s="1"/>
  <c r="D105" i="3" s="1"/>
  <c r="M145" i="3"/>
  <c r="P145" i="3" s="1"/>
  <c r="Q145" i="3" s="1"/>
  <c r="D145" i="3" s="1"/>
  <c r="M54" i="3"/>
  <c r="P54" i="3" s="1"/>
  <c r="Q54" i="3" s="1"/>
  <c r="D54" i="3" s="1"/>
  <c r="M152" i="3"/>
  <c r="P152" i="3" s="1"/>
  <c r="Q152" i="3" s="1"/>
  <c r="D152" i="3" s="1"/>
  <c r="M168" i="3"/>
  <c r="P168" i="3" s="1"/>
  <c r="Q168" i="3" s="1"/>
  <c r="D168" i="3" s="1"/>
  <c r="M161" i="3"/>
  <c r="P161" i="3" s="1"/>
  <c r="Q161" i="3" s="1"/>
  <c r="D161" i="3" s="1"/>
  <c r="M70" i="3"/>
  <c r="P70" i="3" s="1"/>
  <c r="Q70" i="3" s="1"/>
  <c r="D70" i="3" s="1"/>
  <c r="M170" i="3"/>
  <c r="P170" i="3" s="1"/>
  <c r="Q170" i="3" s="1"/>
  <c r="D170" i="3" s="1"/>
  <c r="M158" i="3"/>
  <c r="M167" i="3"/>
  <c r="P167" i="3" s="1"/>
  <c r="Q167" i="3" s="1"/>
  <c r="D167" i="3" s="1"/>
  <c r="M140" i="3"/>
  <c r="M85" i="6"/>
  <c r="M12" i="3"/>
  <c r="M16" i="3"/>
  <c r="M19" i="2"/>
  <c r="M6" i="2"/>
  <c r="M28" i="1"/>
  <c r="M23" i="1"/>
  <c r="M24" i="1"/>
  <c r="M18" i="1"/>
  <c r="M13" i="1"/>
  <c r="M11" i="1"/>
  <c r="M6" i="1"/>
  <c r="M25" i="1"/>
  <c r="M12" i="1"/>
  <c r="M9" i="1"/>
  <c r="M8" i="1"/>
  <c r="M53" i="1"/>
  <c r="M166" i="1"/>
  <c r="M76" i="1"/>
  <c r="M91" i="1"/>
  <c r="M117" i="1"/>
  <c r="M145" i="1"/>
  <c r="M146" i="1"/>
  <c r="M138" i="1"/>
  <c r="M52" i="1"/>
  <c r="O174" i="3"/>
  <c r="O210" i="3"/>
  <c r="M13" i="6"/>
  <c r="M16" i="6"/>
  <c r="M7" i="6"/>
  <c r="M240" i="3"/>
  <c r="P240" i="3" s="1"/>
  <c r="Q240" i="3" s="1"/>
  <c r="D240" i="3" s="1"/>
  <c r="M103" i="3"/>
  <c r="P103" i="3" s="1"/>
  <c r="Q103" i="3" s="1"/>
  <c r="D103" i="3" s="1"/>
  <c r="M23" i="4"/>
  <c r="M31" i="3"/>
  <c r="P31" i="3" s="1"/>
  <c r="Q31" i="3" s="1"/>
  <c r="D31" i="3" s="1"/>
  <c r="M101" i="1"/>
  <c r="M27" i="1"/>
  <c r="M193" i="1"/>
  <c r="M17" i="1"/>
  <c r="M68" i="1"/>
  <c r="M20" i="1"/>
  <c r="M144" i="3"/>
  <c r="P144" i="3" s="1"/>
  <c r="Q144" i="3" s="1"/>
  <c r="D144" i="3" s="1"/>
  <c r="M230" i="3"/>
  <c r="M43" i="3"/>
  <c r="M40" i="3"/>
  <c r="M27" i="3"/>
  <c r="M252" i="3"/>
  <c r="M174" i="3"/>
  <c r="M17" i="3"/>
  <c r="M6" i="3"/>
  <c r="M11" i="3"/>
  <c r="M62" i="1"/>
  <c r="M21" i="1"/>
  <c r="M31" i="1"/>
  <c r="M49" i="1"/>
  <c r="M32" i="1"/>
  <c r="M30" i="1"/>
  <c r="W41" i="6"/>
  <c r="X41" i="6"/>
  <c r="Y41" i="6"/>
  <c r="M36" i="6"/>
  <c r="M63" i="6"/>
  <c r="M45" i="6"/>
  <c r="M20" i="3"/>
  <c r="M7" i="4"/>
  <c r="M16" i="4"/>
  <c r="M14" i="3"/>
  <c r="M102" i="3"/>
  <c r="M42" i="3"/>
  <c r="M94" i="3"/>
  <c r="M210" i="3"/>
  <c r="M203" i="3"/>
  <c r="M193" i="3"/>
  <c r="P193" i="3" s="1"/>
  <c r="Q193" i="3" s="1"/>
  <c r="D193" i="3" s="1"/>
  <c r="M93" i="3"/>
  <c r="M121" i="3"/>
  <c r="M51" i="3"/>
  <c r="M199" i="3"/>
  <c r="M89" i="3"/>
  <c r="P89" i="3" s="1"/>
  <c r="Q89" i="3" s="1"/>
  <c r="D89" i="3" s="1"/>
  <c r="M248" i="3"/>
  <c r="M250" i="3"/>
  <c r="M242" i="3"/>
  <c r="M100" i="3"/>
  <c r="M226" i="3"/>
  <c r="M214" i="3"/>
  <c r="M201" i="3"/>
  <c r="P201" i="3" s="1"/>
  <c r="Q201" i="3" s="1"/>
  <c r="D201" i="3" s="1"/>
  <c r="M27" i="4"/>
  <c r="M35" i="3"/>
  <c r="P35" i="3" s="1"/>
  <c r="Q35" i="3" s="1"/>
  <c r="D35" i="3" s="1"/>
  <c r="M249" i="3"/>
  <c r="M194" i="3"/>
  <c r="M9" i="2"/>
  <c r="M14" i="2"/>
  <c r="M26" i="2"/>
  <c r="M39" i="1"/>
  <c r="M29" i="1"/>
  <c r="Q17" i="6" l="1"/>
  <c r="D17" i="6" s="1"/>
  <c r="Q31" i="6"/>
  <c r="D31" i="6" s="1"/>
  <c r="Q30" i="6"/>
  <c r="D30" i="6" s="1"/>
  <c r="Q44" i="6"/>
  <c r="D44" i="6" s="1"/>
  <c r="Q32" i="6"/>
  <c r="D32" i="6" s="1"/>
  <c r="P45" i="6"/>
  <c r="P27" i="4"/>
  <c r="Q27" i="4" s="1"/>
  <c r="D27" i="4" s="1"/>
  <c r="P7" i="4"/>
  <c r="Q7" i="4" s="1"/>
  <c r="D7" i="4" s="1"/>
  <c r="P16" i="4"/>
  <c r="Q16" i="4" s="1"/>
  <c r="D16" i="4" s="1"/>
  <c r="O19" i="5"/>
  <c r="P19" i="5" s="1"/>
  <c r="D19" i="5" s="1"/>
  <c r="O9" i="5"/>
  <c r="P9" i="5" s="1"/>
  <c r="D9" i="5" s="1"/>
  <c r="O23" i="5"/>
  <c r="P23" i="5" s="1"/>
  <c r="D23" i="5" s="1"/>
  <c r="AA41" i="6"/>
  <c r="AB41" i="6" s="1"/>
  <c r="N41" i="6" s="1"/>
  <c r="M15" i="1"/>
  <c r="M35" i="1"/>
  <c r="M89" i="1"/>
  <c r="M199" i="1"/>
  <c r="M119" i="1"/>
  <c r="V22" i="2"/>
  <c r="U22" i="2"/>
  <c r="M144" i="1"/>
  <c r="M58" i="1"/>
  <c r="M60" i="1"/>
  <c r="M210" i="1"/>
  <c r="M174" i="1"/>
  <c r="M116" i="1"/>
  <c r="M135" i="1"/>
  <c r="M28" i="2"/>
  <c r="M54" i="1"/>
  <c r="M75" i="1"/>
  <c r="M169" i="1"/>
  <c r="M165" i="1"/>
  <c r="M87" i="1"/>
  <c r="M142" i="1"/>
  <c r="M19" i="1"/>
  <c r="M17" i="2"/>
  <c r="M45" i="1"/>
  <c r="M26" i="1"/>
  <c r="M15" i="2"/>
  <c r="L15" i="5"/>
  <c r="L35" i="5"/>
  <c r="L30" i="5"/>
  <c r="L24" i="5"/>
  <c r="S11" i="8"/>
  <c r="AA16" i="8"/>
  <c r="AB16" i="8" s="1"/>
  <c r="AA17" i="8"/>
  <c r="AB17" i="8" s="1"/>
  <c r="N17" i="8" s="1"/>
  <c r="AA18" i="8"/>
  <c r="AB18" i="8" s="1"/>
  <c r="N18" i="8" s="1"/>
  <c r="AA36" i="6"/>
  <c r="AB36" i="6" s="1"/>
  <c r="N36" i="6" s="1"/>
  <c r="AA49" i="6"/>
  <c r="AB49" i="6" s="1"/>
  <c r="N49" i="6" s="1"/>
  <c r="AA63" i="6"/>
  <c r="AB63" i="6" s="1"/>
  <c r="N63" i="6" s="1"/>
  <c r="AA80" i="6"/>
  <c r="AB80" i="6" s="1"/>
  <c r="N80" i="6" s="1"/>
  <c r="AA98" i="6"/>
  <c r="AB98" i="6" s="1"/>
  <c r="N98" i="6" s="1"/>
  <c r="Y51" i="6"/>
  <c r="V51" i="6"/>
  <c r="U51" i="6"/>
  <c r="V124" i="6"/>
  <c r="U124" i="6"/>
  <c r="T117" i="6"/>
  <c r="AA117" i="6" s="1"/>
  <c r="AB117" i="6" s="1"/>
  <c r="N117" i="6" s="1"/>
  <c r="T110" i="6"/>
  <c r="AA110" i="6" s="1"/>
  <c r="AB110" i="6" s="1"/>
  <c r="N110" i="6" s="1"/>
  <c r="V79" i="6"/>
  <c r="AA79" i="6" s="1"/>
  <c r="AB79" i="6" s="1"/>
  <c r="N79" i="6" s="1"/>
  <c r="Z77" i="6"/>
  <c r="X77" i="6"/>
  <c r="W77" i="6"/>
  <c r="V77" i="6"/>
  <c r="U77" i="6"/>
  <c r="T77" i="6"/>
  <c r="Z75" i="6"/>
  <c r="X75" i="6"/>
  <c r="W75" i="6"/>
  <c r="V75" i="6"/>
  <c r="T75" i="6"/>
  <c r="V74" i="6"/>
  <c r="AA74" i="6" s="1"/>
  <c r="AB74" i="6" s="1"/>
  <c r="N74" i="6" s="1"/>
  <c r="T61" i="6"/>
  <c r="AA61" i="6" s="1"/>
  <c r="AB61" i="6" s="1"/>
  <c r="N61" i="6" s="1"/>
  <c r="V39" i="6"/>
  <c r="T39" i="6"/>
  <c r="U21" i="6"/>
  <c r="AA21" i="6" s="1"/>
  <c r="AB21" i="6" s="1"/>
  <c r="N21" i="6" s="1"/>
  <c r="V121" i="6"/>
  <c r="S121" i="6"/>
  <c r="Z116" i="6"/>
  <c r="Y116" i="6"/>
  <c r="X116" i="6"/>
  <c r="Y85" i="6"/>
  <c r="AA85" i="6" s="1"/>
  <c r="AB85" i="6" s="1"/>
  <c r="N85" i="6" s="1"/>
  <c r="V82" i="6"/>
  <c r="AA82" i="6" s="1"/>
  <c r="AB82" i="6" s="1"/>
  <c r="N82" i="6" s="1"/>
  <c r="W24" i="6"/>
  <c r="X24" i="6"/>
  <c r="U13" i="6"/>
  <c r="V13" i="6"/>
  <c r="W13" i="6"/>
  <c r="X13" i="6"/>
  <c r="Y13" i="6"/>
  <c r="V16" i="6"/>
  <c r="W16" i="6"/>
  <c r="X16" i="6"/>
  <c r="U9" i="6"/>
  <c r="V9" i="6"/>
  <c r="W9" i="6"/>
  <c r="X9" i="6"/>
  <c r="Y9" i="6"/>
  <c r="V7" i="6"/>
  <c r="W7" i="6"/>
  <c r="X7" i="6"/>
  <c r="V27" i="6"/>
  <c r="AA27" i="6" s="1"/>
  <c r="AB27" i="6" s="1"/>
  <c r="N27" i="6" s="1"/>
  <c r="V29" i="4"/>
  <c r="AA29" i="4" s="1"/>
  <c r="AB29" i="4" s="1"/>
  <c r="N29" i="4" s="1"/>
  <c r="AA24" i="4"/>
  <c r="AB24" i="4" s="1"/>
  <c r="AA21" i="4"/>
  <c r="AB21" i="4" s="1"/>
  <c r="N21" i="4" s="1"/>
  <c r="Z22" i="4"/>
  <c r="AA22" i="4"/>
  <c r="V14" i="4"/>
  <c r="AA14" i="4" s="1"/>
  <c r="X7" i="4"/>
  <c r="AA7" i="4" s="1"/>
  <c r="Y28" i="4"/>
  <c r="X28" i="4"/>
  <c r="V28" i="4"/>
  <c r="U28" i="4"/>
  <c r="Y23" i="4"/>
  <c r="AA23" i="4" s="1"/>
  <c r="AB23" i="4" s="1"/>
  <c r="S8" i="4"/>
  <c r="U8" i="4"/>
  <c r="V8" i="4"/>
  <c r="S12" i="4"/>
  <c r="AA12" i="4" s="1"/>
  <c r="Z12" i="4"/>
  <c r="Z259" i="3"/>
  <c r="AA259" i="3"/>
  <c r="X253" i="3"/>
  <c r="AA253" i="3" s="1"/>
  <c r="AB253" i="3" s="1"/>
  <c r="N253" i="3" s="1"/>
  <c r="P253" i="3" s="1"/>
  <c r="Q253" i="3" s="1"/>
  <c r="D253" i="3" s="1"/>
  <c r="V252" i="3"/>
  <c r="W252" i="3"/>
  <c r="X252" i="3"/>
  <c r="X250" i="3"/>
  <c r="AA250" i="3" s="1"/>
  <c r="V241" i="3"/>
  <c r="X241" i="3"/>
  <c r="S247" i="3"/>
  <c r="U247" i="3"/>
  <c r="V247" i="3"/>
  <c r="W248" i="3"/>
  <c r="X248" i="3"/>
  <c r="T230" i="3"/>
  <c r="V230" i="3"/>
  <c r="W230" i="3"/>
  <c r="X230" i="3"/>
  <c r="Z230" i="3"/>
  <c r="V227" i="3"/>
  <c r="AA227" i="3" s="1"/>
  <c r="X203" i="3"/>
  <c r="AA203" i="3" s="1"/>
  <c r="AB203" i="3" s="1"/>
  <c r="U199" i="3"/>
  <c r="V199" i="3"/>
  <c r="X199" i="3"/>
  <c r="V200" i="3"/>
  <c r="AA200" i="3" s="1"/>
  <c r="AB200" i="3" s="1"/>
  <c r="V194" i="3"/>
  <c r="W194" i="3"/>
  <c r="X194" i="3"/>
  <c r="Z194" i="3"/>
  <c r="X177" i="3"/>
  <c r="AA177" i="3" s="1"/>
  <c r="V179" i="3"/>
  <c r="AA179" i="3" s="1"/>
  <c r="AB179" i="3" s="1"/>
  <c r="V174" i="3"/>
  <c r="W174" i="3"/>
  <c r="X174" i="3"/>
  <c r="Z174" i="3"/>
  <c r="Z159" i="3"/>
  <c r="AA159" i="3"/>
  <c r="V162" i="3"/>
  <c r="X162" i="3"/>
  <c r="AA157" i="3"/>
  <c r="AB157" i="3" s="1"/>
  <c r="W153" i="3"/>
  <c r="X153" i="3"/>
  <c r="T149" i="3"/>
  <c r="V149" i="3"/>
  <c r="W123" i="1"/>
  <c r="V146" i="3"/>
  <c r="AA146" i="3" s="1"/>
  <c r="AB146" i="3" s="1"/>
  <c r="AA142" i="3"/>
  <c r="AB142" i="3" s="1"/>
  <c r="AA141" i="3"/>
  <c r="W122" i="3"/>
  <c r="AA122" i="3" s="1"/>
  <c r="V138" i="3"/>
  <c r="AA138" i="3" s="1"/>
  <c r="AA133" i="3"/>
  <c r="AB133" i="3" s="1"/>
  <c r="U116" i="3"/>
  <c r="V116" i="3"/>
  <c r="W116" i="3"/>
  <c r="X116" i="3"/>
  <c r="X121" i="3"/>
  <c r="AA121" i="3" s="1"/>
  <c r="AB121" i="3" s="1"/>
  <c r="V118" i="3"/>
  <c r="W118" i="3"/>
  <c r="X118" i="3"/>
  <c r="U117" i="3"/>
  <c r="V117" i="3"/>
  <c r="T107" i="3"/>
  <c r="V107" i="3"/>
  <c r="W107" i="3"/>
  <c r="X107" i="3"/>
  <c r="W78" i="3"/>
  <c r="X78" i="3"/>
  <c r="V43" i="3"/>
  <c r="T43" i="3"/>
  <c r="T41" i="3"/>
  <c r="V41" i="3"/>
  <c r="V36" i="3"/>
  <c r="AA36" i="3" s="1"/>
  <c r="AB36" i="3" s="1"/>
  <c r="U238" i="3"/>
  <c r="Y238" i="3"/>
  <c r="U217" i="3"/>
  <c r="Y217" i="3"/>
  <c r="V228" i="3"/>
  <c r="Y228" i="3"/>
  <c r="U196" i="3"/>
  <c r="Y196" i="3"/>
  <c r="Y114" i="3"/>
  <c r="AA114" i="3" s="1"/>
  <c r="Z114" i="3"/>
  <c r="U85" i="3"/>
  <c r="Y85" i="3"/>
  <c r="V11" i="3"/>
  <c r="W11" i="3"/>
  <c r="X11" i="3"/>
  <c r="Y11" i="3"/>
  <c r="S10" i="3"/>
  <c r="AA10" i="3" s="1"/>
  <c r="AB10" i="3" s="1"/>
  <c r="AA140" i="3"/>
  <c r="AB140" i="3" s="1"/>
  <c r="AA12" i="3"/>
  <c r="AB12" i="3" s="1"/>
  <c r="AA148" i="3"/>
  <c r="AB148" i="3" s="1"/>
  <c r="AA155" i="3"/>
  <c r="AB155" i="3" s="1"/>
  <c r="AA163" i="3"/>
  <c r="AB163" i="3" s="1"/>
  <c r="AA186" i="3"/>
  <c r="AB186" i="3" s="1"/>
  <c r="AA236" i="3"/>
  <c r="AB236" i="3" s="1"/>
  <c r="AA242" i="3"/>
  <c r="AB242" i="3" s="1"/>
  <c r="AA243" i="3"/>
  <c r="Z7" i="5"/>
  <c r="AA7" i="5" s="1"/>
  <c r="M7" i="5" s="1"/>
  <c r="Z25" i="5"/>
  <c r="AA25" i="5" s="1"/>
  <c r="M25" i="5" s="1"/>
  <c r="Z27" i="5"/>
  <c r="AA27" i="5" s="1"/>
  <c r="M27" i="5" s="1"/>
  <c r="Z29" i="5"/>
  <c r="AA29" i="5" s="1"/>
  <c r="M29" i="5" s="1"/>
  <c r="Z31" i="5"/>
  <c r="AA31" i="5" s="1"/>
  <c r="M31" i="5" s="1"/>
  <c r="Q45" i="6" l="1"/>
  <c r="D45" i="6" s="1"/>
  <c r="AA123" i="1"/>
  <c r="AB123" i="1" s="1"/>
  <c r="N123" i="1" s="1"/>
  <c r="P123" i="1" s="1"/>
  <c r="Q123" i="1" s="1"/>
  <c r="D123" i="1" s="1"/>
  <c r="P17" i="8"/>
  <c r="Q17" i="8" s="1"/>
  <c r="P18" i="8"/>
  <c r="Q18" i="8" s="1"/>
  <c r="P98" i="6"/>
  <c r="P80" i="6"/>
  <c r="P82" i="6"/>
  <c r="P79" i="6"/>
  <c r="P110" i="6"/>
  <c r="P117" i="6"/>
  <c r="P63" i="6"/>
  <c r="P49" i="6"/>
  <c r="P36" i="6"/>
  <c r="P85" i="6"/>
  <c r="P61" i="6"/>
  <c r="P27" i="6"/>
  <c r="P21" i="6"/>
  <c r="P41" i="6"/>
  <c r="P74" i="6"/>
  <c r="P21" i="4"/>
  <c r="Q21" i="4" s="1"/>
  <c r="D21" i="4" s="1"/>
  <c r="P29" i="4"/>
  <c r="Q29" i="4" s="1"/>
  <c r="D29" i="4" s="1"/>
  <c r="P17" i="2"/>
  <c r="Q17" i="2" s="1"/>
  <c r="D17" i="2" s="1"/>
  <c r="O27" i="5"/>
  <c r="P27" i="5" s="1"/>
  <c r="D27" i="5" s="1"/>
  <c r="O7" i="5"/>
  <c r="P7" i="5" s="1"/>
  <c r="D7" i="5" s="1"/>
  <c r="O31" i="5"/>
  <c r="P31" i="5" s="1"/>
  <c r="D31" i="5" s="1"/>
  <c r="O29" i="5"/>
  <c r="P29" i="5" s="1"/>
  <c r="D29" i="5" s="1"/>
  <c r="O25" i="5"/>
  <c r="P25" i="5" s="1"/>
  <c r="D25" i="5" s="1"/>
  <c r="O30" i="5"/>
  <c r="P30" i="5" s="1"/>
  <c r="D30" i="5" s="1"/>
  <c r="AA121" i="6"/>
  <c r="AB121" i="6" s="1"/>
  <c r="N121" i="6" s="1"/>
  <c r="AA22" i="2"/>
  <c r="AB22" i="2" s="1"/>
  <c r="N22" i="2" s="1"/>
  <c r="AA116" i="6"/>
  <c r="AB116" i="6" s="1"/>
  <c r="N116" i="6" s="1"/>
  <c r="AA77" i="6"/>
  <c r="AB77" i="6" s="1"/>
  <c r="N77" i="6" s="1"/>
  <c r="AA124" i="6"/>
  <c r="AB124" i="6" s="1"/>
  <c r="N124" i="6" s="1"/>
  <c r="AA16" i="6"/>
  <c r="AB16" i="6" s="1"/>
  <c r="N16" i="6" s="1"/>
  <c r="AB12" i="4"/>
  <c r="N12" i="4" s="1"/>
  <c r="AA75" i="6"/>
  <c r="AB75" i="6" s="1"/>
  <c r="N75" i="6" s="1"/>
  <c r="AA51" i="6"/>
  <c r="AB51" i="6" s="1"/>
  <c r="N51" i="6" s="1"/>
  <c r="AA13" i="6"/>
  <c r="AB13" i="6" s="1"/>
  <c r="N13" i="6" s="1"/>
  <c r="AA7" i="6"/>
  <c r="AB7" i="6" s="1"/>
  <c r="N7" i="6" s="1"/>
  <c r="AA24" i="6"/>
  <c r="AB24" i="6" s="1"/>
  <c r="N24" i="6" s="1"/>
  <c r="AA9" i="6"/>
  <c r="AB9" i="6" s="1"/>
  <c r="N9" i="6" s="1"/>
  <c r="AA39" i="6"/>
  <c r="AB39" i="6" s="1"/>
  <c r="N39" i="6" s="1"/>
  <c r="AB22" i="4"/>
  <c r="N22" i="4" s="1"/>
  <c r="AB14" i="4"/>
  <c r="N14" i="4" s="1"/>
  <c r="AB7" i="4"/>
  <c r="AB114" i="3"/>
  <c r="N114" i="3" s="1"/>
  <c r="P114" i="3" s="1"/>
  <c r="Q114" i="3" s="1"/>
  <c r="D114" i="3" s="1"/>
  <c r="AB259" i="3"/>
  <c r="N259" i="3" s="1"/>
  <c r="P259" i="3" s="1"/>
  <c r="Q259" i="3" s="1"/>
  <c r="D259" i="3" s="1"/>
  <c r="AB159" i="3"/>
  <c r="N159" i="3" s="1"/>
  <c r="P159" i="3" s="1"/>
  <c r="Q159" i="3" s="1"/>
  <c r="D159" i="3" s="1"/>
  <c r="AB250" i="3"/>
  <c r="N250" i="3" s="1"/>
  <c r="P250" i="3" s="1"/>
  <c r="Q250" i="3" s="1"/>
  <c r="D250" i="3" s="1"/>
  <c r="N133" i="3"/>
  <c r="P133" i="3" s="1"/>
  <c r="Q133" i="3" s="1"/>
  <c r="D133" i="3" s="1"/>
  <c r="AB177" i="3"/>
  <c r="N177" i="3" s="1"/>
  <c r="P177" i="3" s="1"/>
  <c r="Q177" i="3" s="1"/>
  <c r="D177" i="3" s="1"/>
  <c r="AB141" i="3"/>
  <c r="N141" i="3" s="1"/>
  <c r="P141" i="3" s="1"/>
  <c r="Q141" i="3" s="1"/>
  <c r="D141" i="3" s="1"/>
  <c r="AB243" i="3"/>
  <c r="N243" i="3" s="1"/>
  <c r="P243" i="3" s="1"/>
  <c r="Q243" i="3" s="1"/>
  <c r="D243" i="3" s="1"/>
  <c r="AB122" i="3"/>
  <c r="N122" i="3" s="1"/>
  <c r="P122" i="3" s="1"/>
  <c r="Q122" i="3" s="1"/>
  <c r="D122" i="3" s="1"/>
  <c r="AB138" i="3"/>
  <c r="N138" i="3" s="1"/>
  <c r="P138" i="3" s="1"/>
  <c r="Q138" i="3" s="1"/>
  <c r="D138" i="3" s="1"/>
  <c r="N36" i="3"/>
  <c r="P36" i="3" s="1"/>
  <c r="Q36" i="3" s="1"/>
  <c r="D36" i="3" s="1"/>
  <c r="N200" i="3"/>
  <c r="P200" i="3" s="1"/>
  <c r="Q200" i="3" s="1"/>
  <c r="D200" i="3" s="1"/>
  <c r="AB227" i="3"/>
  <c r="N227" i="3" s="1"/>
  <c r="P227" i="3" s="1"/>
  <c r="Q227" i="3" s="1"/>
  <c r="D227" i="3" s="1"/>
  <c r="N24" i="4"/>
  <c r="AA8" i="4"/>
  <c r="AB8" i="4" s="1"/>
  <c r="N8" i="4" s="1"/>
  <c r="AA28" i="4"/>
  <c r="N23" i="4"/>
  <c r="N121" i="3"/>
  <c r="P121" i="3" s="1"/>
  <c r="Q121" i="3" s="1"/>
  <c r="D121" i="3" s="1"/>
  <c r="N157" i="3"/>
  <c r="P157" i="3" s="1"/>
  <c r="Q157" i="3" s="1"/>
  <c r="D157" i="3" s="1"/>
  <c r="N203" i="3"/>
  <c r="P203" i="3" s="1"/>
  <c r="Q203" i="3" s="1"/>
  <c r="D203" i="3" s="1"/>
  <c r="N142" i="3"/>
  <c r="P142" i="3" s="1"/>
  <c r="Q142" i="3" s="1"/>
  <c r="D142" i="3" s="1"/>
  <c r="N146" i="3"/>
  <c r="P146" i="3" s="1"/>
  <c r="Q146" i="3" s="1"/>
  <c r="D146" i="3" s="1"/>
  <c r="N179" i="3"/>
  <c r="P179" i="3" s="1"/>
  <c r="Q179" i="3" s="1"/>
  <c r="D179" i="3" s="1"/>
  <c r="AA252" i="3"/>
  <c r="AA248" i="3"/>
  <c r="AA247" i="3"/>
  <c r="AA241" i="3"/>
  <c r="AA230" i="3"/>
  <c r="AA199" i="3"/>
  <c r="AA149" i="3"/>
  <c r="AA194" i="3"/>
  <c r="AA162" i="3"/>
  <c r="AA174" i="3"/>
  <c r="AA153" i="3"/>
  <c r="AA117" i="3"/>
  <c r="AA217" i="3"/>
  <c r="AA118" i="3"/>
  <c r="AA116" i="3"/>
  <c r="AA78" i="3"/>
  <c r="AA107" i="3"/>
  <c r="AA238" i="3"/>
  <c r="AA41" i="3"/>
  <c r="AA196" i="3"/>
  <c r="AA228" i="3"/>
  <c r="AA85" i="3"/>
  <c r="N242" i="3"/>
  <c r="P242" i="3" s="1"/>
  <c r="Q242" i="3" s="1"/>
  <c r="D242" i="3" s="1"/>
  <c r="N148" i="3"/>
  <c r="P148" i="3" s="1"/>
  <c r="Q148" i="3" s="1"/>
  <c r="D148" i="3" s="1"/>
  <c r="N186" i="3"/>
  <c r="P186" i="3" s="1"/>
  <c r="Q186" i="3" s="1"/>
  <c r="D186" i="3" s="1"/>
  <c r="N163" i="3"/>
  <c r="P163" i="3" s="1"/>
  <c r="Q163" i="3" s="1"/>
  <c r="D163" i="3" s="1"/>
  <c r="N12" i="3"/>
  <c r="P12" i="3" s="1"/>
  <c r="Q12" i="3" s="1"/>
  <c r="D12" i="3" s="1"/>
  <c r="N140" i="3"/>
  <c r="P140" i="3" s="1"/>
  <c r="Q140" i="3" s="1"/>
  <c r="D140" i="3" s="1"/>
  <c r="N236" i="3"/>
  <c r="P236" i="3" s="1"/>
  <c r="Q236" i="3" s="1"/>
  <c r="D236" i="3" s="1"/>
  <c r="N10" i="3"/>
  <c r="P10" i="3" s="1"/>
  <c r="Q10" i="3" s="1"/>
  <c r="D10" i="3" s="1"/>
  <c r="N155" i="3"/>
  <c r="P155" i="3" s="1"/>
  <c r="Q155" i="3" s="1"/>
  <c r="D155" i="3" s="1"/>
  <c r="N170" i="1"/>
  <c r="P170" i="1" s="1"/>
  <c r="Q170" i="1" s="1"/>
  <c r="D170" i="1" s="1"/>
  <c r="N196" i="1"/>
  <c r="P196" i="1" s="1"/>
  <c r="Q196" i="1" s="1"/>
  <c r="D196" i="1" s="1"/>
  <c r="N124" i="1"/>
  <c r="P124" i="1" s="1"/>
  <c r="Q124" i="1" s="1"/>
  <c r="D124" i="1" s="1"/>
  <c r="AA11" i="3"/>
  <c r="AB11" i="3" s="1"/>
  <c r="N92" i="1"/>
  <c r="P92" i="1" s="1"/>
  <c r="Q92" i="1" s="1"/>
  <c r="D92" i="1" s="1"/>
  <c r="N39" i="1"/>
  <c r="P39" i="1" s="1"/>
  <c r="Q39" i="1" s="1"/>
  <c r="D39" i="1" s="1"/>
  <c r="N65" i="1"/>
  <c r="P65" i="1" s="1"/>
  <c r="Q65" i="1" s="1"/>
  <c r="D65" i="1" s="1"/>
  <c r="N148" i="1"/>
  <c r="P148" i="1" s="1"/>
  <c r="Q148" i="1" s="1"/>
  <c r="D148" i="1" s="1"/>
  <c r="Q49" i="6" l="1"/>
  <c r="D49" i="6" s="1"/>
  <c r="Q85" i="6"/>
  <c r="D85" i="6" s="1"/>
  <c r="Q36" i="6"/>
  <c r="D36" i="6" s="1"/>
  <c r="Q63" i="6"/>
  <c r="D63" i="6" s="1"/>
  <c r="Q80" i="6"/>
  <c r="D80" i="6" s="1"/>
  <c r="Q41" i="6"/>
  <c r="D41" i="6" s="1"/>
  <c r="Q61" i="6"/>
  <c r="D61" i="6" s="1"/>
  <c r="Q110" i="6"/>
  <c r="D110" i="6" s="1"/>
  <c r="Q79" i="6"/>
  <c r="D79" i="6" s="1"/>
  <c r="Q98" i="6"/>
  <c r="D98" i="6" s="1"/>
  <c r="Q21" i="6"/>
  <c r="D21" i="6" s="1"/>
  <c r="Q117" i="6"/>
  <c r="D117" i="6" s="1"/>
  <c r="Q82" i="6"/>
  <c r="D82" i="6" s="1"/>
  <c r="Q74" i="6"/>
  <c r="D74" i="6" s="1"/>
  <c r="Q27" i="6"/>
  <c r="D27" i="6" s="1"/>
  <c r="P24" i="6"/>
  <c r="P7" i="6"/>
  <c r="P77" i="6"/>
  <c r="P116" i="6"/>
  <c r="P13" i="6"/>
  <c r="P51" i="6"/>
  <c r="P75" i="6"/>
  <c r="P16" i="6"/>
  <c r="P124" i="6"/>
  <c r="P121" i="6"/>
  <c r="P39" i="6"/>
  <c r="P9" i="6"/>
  <c r="P22" i="4"/>
  <c r="Q22" i="4" s="1"/>
  <c r="D22" i="4" s="1"/>
  <c r="P12" i="4"/>
  <c r="Q12" i="4" s="1"/>
  <c r="D12" i="4" s="1"/>
  <c r="P14" i="4"/>
  <c r="Q14" i="4" s="1"/>
  <c r="D14" i="4" s="1"/>
  <c r="P23" i="4"/>
  <c r="Q23" i="4" s="1"/>
  <c r="D23" i="4" s="1"/>
  <c r="P8" i="4"/>
  <c r="Q8" i="4" s="1"/>
  <c r="D8" i="4" s="1"/>
  <c r="P24" i="4"/>
  <c r="Q24" i="4" s="1"/>
  <c r="D24" i="4" s="1"/>
  <c r="P22" i="2"/>
  <c r="Q22" i="2" s="1"/>
  <c r="D22" i="2" s="1"/>
  <c r="AB28" i="4"/>
  <c r="N28" i="4" s="1"/>
  <c r="AB117" i="3"/>
  <c r="N117" i="3" s="1"/>
  <c r="P117" i="3" s="1"/>
  <c r="Q117" i="3" s="1"/>
  <c r="D117" i="3" s="1"/>
  <c r="AB174" i="3"/>
  <c r="N174" i="3" s="1"/>
  <c r="P174" i="3" s="1"/>
  <c r="Q174" i="3" s="1"/>
  <c r="D174" i="3" s="1"/>
  <c r="AB162" i="3"/>
  <c r="N162" i="3" s="1"/>
  <c r="P162" i="3" s="1"/>
  <c r="Q162" i="3" s="1"/>
  <c r="D162" i="3" s="1"/>
  <c r="AB85" i="3"/>
  <c r="N85" i="3" s="1"/>
  <c r="P85" i="3" s="1"/>
  <c r="Q85" i="3" s="1"/>
  <c r="D85" i="3" s="1"/>
  <c r="AB194" i="3"/>
  <c r="N194" i="3" s="1"/>
  <c r="P194" i="3" s="1"/>
  <c r="Q194" i="3" s="1"/>
  <c r="D194" i="3" s="1"/>
  <c r="AB228" i="3"/>
  <c r="N228" i="3" s="1"/>
  <c r="P228" i="3" s="1"/>
  <c r="Q228" i="3" s="1"/>
  <c r="D228" i="3" s="1"/>
  <c r="AB196" i="3"/>
  <c r="N196" i="3" s="1"/>
  <c r="P196" i="3" s="1"/>
  <c r="Q196" i="3" s="1"/>
  <c r="D196" i="3" s="1"/>
  <c r="AB199" i="3"/>
  <c r="N199" i="3" s="1"/>
  <c r="P199" i="3" s="1"/>
  <c r="Q199" i="3" s="1"/>
  <c r="D199" i="3" s="1"/>
  <c r="AB230" i="3"/>
  <c r="N230" i="3" s="1"/>
  <c r="P230" i="3" s="1"/>
  <c r="Q230" i="3" s="1"/>
  <c r="D230" i="3" s="1"/>
  <c r="AB153" i="3"/>
  <c r="N153" i="3" s="1"/>
  <c r="P153" i="3" s="1"/>
  <c r="Q153" i="3" s="1"/>
  <c r="D153" i="3" s="1"/>
  <c r="AB149" i="3"/>
  <c r="N149" i="3" s="1"/>
  <c r="P149" i="3" s="1"/>
  <c r="Q149" i="3" s="1"/>
  <c r="D149" i="3" s="1"/>
  <c r="AB41" i="3"/>
  <c r="N41" i="3" s="1"/>
  <c r="P41" i="3" s="1"/>
  <c r="Q41" i="3" s="1"/>
  <c r="D41" i="3" s="1"/>
  <c r="AB241" i="3"/>
  <c r="N241" i="3" s="1"/>
  <c r="P241" i="3" s="1"/>
  <c r="Q241" i="3" s="1"/>
  <c r="D241" i="3" s="1"/>
  <c r="AB238" i="3"/>
  <c r="N238" i="3" s="1"/>
  <c r="P238" i="3" s="1"/>
  <c r="Q238" i="3" s="1"/>
  <c r="D238" i="3" s="1"/>
  <c r="AB247" i="3"/>
  <c r="N247" i="3" s="1"/>
  <c r="P247" i="3" s="1"/>
  <c r="Q247" i="3" s="1"/>
  <c r="D247" i="3" s="1"/>
  <c r="AB107" i="3"/>
  <c r="N107" i="3" s="1"/>
  <c r="P107" i="3" s="1"/>
  <c r="Q107" i="3" s="1"/>
  <c r="D107" i="3" s="1"/>
  <c r="AB248" i="3"/>
  <c r="N248" i="3" s="1"/>
  <c r="P248" i="3" s="1"/>
  <c r="Q248" i="3" s="1"/>
  <c r="D248" i="3" s="1"/>
  <c r="AB78" i="3"/>
  <c r="N78" i="3" s="1"/>
  <c r="P78" i="3" s="1"/>
  <c r="Q78" i="3" s="1"/>
  <c r="D78" i="3" s="1"/>
  <c r="AB118" i="3"/>
  <c r="N118" i="3" s="1"/>
  <c r="P118" i="3" s="1"/>
  <c r="Q118" i="3" s="1"/>
  <c r="D118" i="3" s="1"/>
  <c r="AB252" i="3"/>
  <c r="N252" i="3" s="1"/>
  <c r="P252" i="3" s="1"/>
  <c r="Q252" i="3" s="1"/>
  <c r="D252" i="3" s="1"/>
  <c r="AB116" i="3"/>
  <c r="N116" i="3" s="1"/>
  <c r="P116" i="3" s="1"/>
  <c r="Q116" i="3" s="1"/>
  <c r="D116" i="3" s="1"/>
  <c r="AB217" i="3"/>
  <c r="N217" i="3" s="1"/>
  <c r="P217" i="3" s="1"/>
  <c r="Q217" i="3" s="1"/>
  <c r="D217" i="3" s="1"/>
  <c r="N11" i="3"/>
  <c r="P11" i="3" s="1"/>
  <c r="Q11" i="3" s="1"/>
  <c r="D11" i="3" s="1"/>
  <c r="Q24" i="6" l="1"/>
  <c r="D24" i="6" s="1"/>
  <c r="Q39" i="6"/>
  <c r="D39" i="6" s="1"/>
  <c r="Q121" i="6"/>
  <c r="D121" i="6" s="1"/>
  <c r="Q75" i="6"/>
  <c r="D75" i="6" s="1"/>
  <c r="Q51" i="6"/>
  <c r="D51" i="6" s="1"/>
  <c r="Q13" i="6"/>
  <c r="D13" i="6" s="1"/>
  <c r="Q7" i="6"/>
  <c r="D7" i="6" s="1"/>
  <c r="Q124" i="6"/>
  <c r="D124" i="6" s="1"/>
  <c r="Q116" i="6"/>
  <c r="D116" i="6" s="1"/>
  <c r="Q9" i="6"/>
  <c r="D9" i="6" s="1"/>
  <c r="Q16" i="6"/>
  <c r="D16" i="6" s="1"/>
  <c r="Q77" i="6"/>
  <c r="D77" i="6" s="1"/>
  <c r="P28" i="4"/>
  <c r="Q28" i="4" s="1"/>
  <c r="D28" i="4" s="1"/>
  <c r="V203" i="1"/>
  <c r="X203" i="1"/>
  <c r="W26" i="1"/>
  <c r="X26" i="1"/>
  <c r="X26" i="2"/>
  <c r="W26" i="2"/>
  <c r="V26" i="2"/>
  <c r="S26" i="2"/>
  <c r="Z24" i="1"/>
  <c r="X24" i="1"/>
  <c r="W24" i="1"/>
  <c r="V24" i="1"/>
  <c r="U24" i="1"/>
  <c r="S24" i="1"/>
  <c r="X180" i="1"/>
  <c r="AA180" i="1" s="1"/>
  <c r="AB180" i="1" s="1"/>
  <c r="U23" i="2"/>
  <c r="AA23" i="2" s="1"/>
  <c r="AB23" i="2" s="1"/>
  <c r="N23" i="2" s="1"/>
  <c r="V172" i="1"/>
  <c r="AA172" i="1" s="1"/>
  <c r="AB172" i="1" s="1"/>
  <c r="U171" i="1"/>
  <c r="V171" i="1"/>
  <c r="W154" i="1"/>
  <c r="AA154" i="1" s="1"/>
  <c r="AB154" i="1" s="1"/>
  <c r="V141" i="1"/>
  <c r="AA141" i="1" s="1"/>
  <c r="AB141" i="1" s="1"/>
  <c r="U130" i="1"/>
  <c r="V130" i="1"/>
  <c r="S13" i="1"/>
  <c r="U13" i="1"/>
  <c r="V13" i="1"/>
  <c r="W13" i="1"/>
  <c r="X13" i="1"/>
  <c r="Z13" i="1"/>
  <c r="S11" i="1"/>
  <c r="U11" i="1"/>
  <c r="V11" i="1"/>
  <c r="W11" i="1"/>
  <c r="X11" i="1"/>
  <c r="Z11" i="1"/>
  <c r="U88" i="1"/>
  <c r="AA88" i="1" s="1"/>
  <c r="AB88" i="1" s="1"/>
  <c r="U82" i="1"/>
  <c r="AA82" i="1" s="1"/>
  <c r="AB82" i="1" s="1"/>
  <c r="X80" i="1"/>
  <c r="AA80" i="1" s="1"/>
  <c r="AB80" i="1" s="1"/>
  <c r="V69" i="1"/>
  <c r="AA69" i="1" s="1"/>
  <c r="AB69" i="1" s="1"/>
  <c r="W57" i="1"/>
  <c r="X57" i="1"/>
  <c r="W46" i="1"/>
  <c r="AA46" i="1" s="1"/>
  <c r="AB46" i="1" s="1"/>
  <c r="U47" i="1"/>
  <c r="AA47" i="1" s="1"/>
  <c r="AB47" i="1" s="1"/>
  <c r="V38" i="1"/>
  <c r="AA38" i="1" s="1"/>
  <c r="AB38" i="1" s="1"/>
  <c r="Z26" i="3"/>
  <c r="Z30" i="3"/>
  <c r="Z44" i="3"/>
  <c r="Z212" i="3"/>
  <c r="Z53" i="3"/>
  <c r="Z38" i="3"/>
  <c r="Z132" i="3"/>
  <c r="Z91" i="3"/>
  <c r="Z52" i="3"/>
  <c r="Z249" i="3"/>
  <c r="Z14" i="3"/>
  <c r="Z6" i="3"/>
  <c r="Z17" i="3"/>
  <c r="Z20" i="3"/>
  <c r="Z102" i="3"/>
  <c r="X105" i="6"/>
  <c r="AA105" i="6" s="1"/>
  <c r="AB105" i="6" s="1"/>
  <c r="N105" i="6" s="1"/>
  <c r="X25" i="6"/>
  <c r="AA25" i="6" s="1"/>
  <c r="AB25" i="6" s="1"/>
  <c r="N25" i="6" s="1"/>
  <c r="X99" i="6"/>
  <c r="X12" i="6"/>
  <c r="X10" i="6"/>
  <c r="X174" i="1"/>
  <c r="AA174" i="1" s="1"/>
  <c r="AB174" i="1" s="1"/>
  <c r="X166" i="1"/>
  <c r="AA166" i="1" s="1"/>
  <c r="AB166" i="1" s="1"/>
  <c r="X76" i="1"/>
  <c r="X91" i="1"/>
  <c r="AA91" i="1" s="1"/>
  <c r="AB91" i="1" s="1"/>
  <c r="X117" i="1"/>
  <c r="X145" i="1"/>
  <c r="AA145" i="1" s="1"/>
  <c r="AB145" i="1" s="1"/>
  <c r="X138" i="1"/>
  <c r="X146" i="1"/>
  <c r="X52" i="1"/>
  <c r="X13" i="3"/>
  <c r="X19" i="3"/>
  <c r="X8" i="3"/>
  <c r="X19" i="2"/>
  <c r="X6" i="2"/>
  <c r="W6" i="2"/>
  <c r="X28" i="1"/>
  <c r="X23" i="1"/>
  <c r="X165" i="1"/>
  <c r="X18" i="1"/>
  <c r="X25" i="1"/>
  <c r="X12" i="1"/>
  <c r="X9" i="1"/>
  <c r="X8" i="1"/>
  <c r="X94" i="6"/>
  <c r="AA94" i="6" s="1"/>
  <c r="AB94" i="6" s="1"/>
  <c r="N94" i="6" s="1"/>
  <c r="X56" i="3"/>
  <c r="Y56" i="3"/>
  <c r="X123" i="3"/>
  <c r="Y123" i="3"/>
  <c r="Y109" i="6"/>
  <c r="Y107" i="6"/>
  <c r="Y29" i="6"/>
  <c r="Y87" i="6"/>
  <c r="Y53" i="6"/>
  <c r="X109" i="6"/>
  <c r="X53" i="6"/>
  <c r="X107" i="6"/>
  <c r="X29" i="6"/>
  <c r="X87" i="6"/>
  <c r="X249" i="3"/>
  <c r="X14" i="3"/>
  <c r="X6" i="3"/>
  <c r="X17" i="3"/>
  <c r="X93" i="3"/>
  <c r="X100" i="3"/>
  <c r="X210" i="3"/>
  <c r="X234" i="3"/>
  <c r="X27" i="3"/>
  <c r="X40" i="3"/>
  <c r="X94" i="3"/>
  <c r="W71" i="1"/>
  <c r="X71" i="1"/>
  <c r="X75" i="1"/>
  <c r="Y99" i="6"/>
  <c r="X14" i="6"/>
  <c r="X6" i="6"/>
  <c r="X43" i="3"/>
  <c r="X62" i="1"/>
  <c r="X21" i="1"/>
  <c r="X49" i="1"/>
  <c r="X15" i="1"/>
  <c r="X32" i="1"/>
  <c r="X6" i="1"/>
  <c r="X30" i="1"/>
  <c r="X113" i="6"/>
  <c r="X22" i="6"/>
  <c r="AA22" i="6" s="1"/>
  <c r="AB22" i="6" s="1"/>
  <c r="N22" i="6" s="1"/>
  <c r="X206" i="3"/>
  <c r="X30" i="3"/>
  <c r="X26" i="3"/>
  <c r="X47" i="3"/>
  <c r="Y44" i="3"/>
  <c r="X44" i="3"/>
  <c r="X91" i="3"/>
  <c r="X132" i="3"/>
  <c r="X38" i="3"/>
  <c r="X83" i="3"/>
  <c r="X20" i="3"/>
  <c r="X52" i="3"/>
  <c r="Y212" i="3"/>
  <c r="AA212" i="3" s="1"/>
  <c r="X53" i="3"/>
  <c r="Y234" i="3"/>
  <c r="X134" i="3"/>
  <c r="X51" i="3"/>
  <c r="X102" i="3"/>
  <c r="Y102" i="3"/>
  <c r="X126" i="3"/>
  <c r="X97" i="3"/>
  <c r="X171" i="3"/>
  <c r="X124" i="3"/>
  <c r="X214" i="3"/>
  <c r="X226" i="3"/>
  <c r="X42" i="3"/>
  <c r="X9" i="2"/>
  <c r="X8" i="2"/>
  <c r="X14" i="2"/>
  <c r="X27" i="2"/>
  <c r="X199" i="1"/>
  <c r="X29" i="1"/>
  <c r="AA57" i="1" l="1"/>
  <c r="AB57" i="1" s="1"/>
  <c r="AA13" i="1"/>
  <c r="AB13" i="1" s="1"/>
  <c r="AA26" i="1"/>
  <c r="AB26" i="1" s="1"/>
  <c r="AA11" i="1"/>
  <c r="AB11" i="1" s="1"/>
  <c r="AA24" i="1"/>
  <c r="AB24" i="1" s="1"/>
  <c r="AA130" i="1"/>
  <c r="AB130" i="1" s="1"/>
  <c r="AA171" i="1"/>
  <c r="AB171" i="1" s="1"/>
  <c r="AA203" i="1"/>
  <c r="AB203" i="1" s="1"/>
  <c r="P94" i="6"/>
  <c r="P25" i="6"/>
  <c r="P22" i="6"/>
  <c r="P105" i="6"/>
  <c r="P23" i="2"/>
  <c r="Q23" i="2" s="1"/>
  <c r="D23" i="2" s="1"/>
  <c r="AA53" i="6"/>
  <c r="AB53" i="6" s="1"/>
  <c r="N53" i="6" s="1"/>
  <c r="AA87" i="6"/>
  <c r="AB87" i="6" s="1"/>
  <c r="N87" i="6" s="1"/>
  <c r="AA107" i="6"/>
  <c r="AB107" i="6" s="1"/>
  <c r="N107" i="6" s="1"/>
  <c r="AA99" i="6"/>
  <c r="AB99" i="6" s="1"/>
  <c r="N99" i="6" s="1"/>
  <c r="AA29" i="6"/>
  <c r="AB29" i="6" s="1"/>
  <c r="N29" i="6" s="1"/>
  <c r="AA109" i="6"/>
  <c r="AB109" i="6" s="1"/>
  <c r="N109" i="6" s="1"/>
  <c r="AB212" i="3"/>
  <c r="N212" i="3" s="1"/>
  <c r="P212" i="3" s="1"/>
  <c r="Q212" i="3" s="1"/>
  <c r="D212" i="3" s="1"/>
  <c r="N145" i="1"/>
  <c r="P145" i="1" s="1"/>
  <c r="Q145" i="1" s="1"/>
  <c r="D145" i="1" s="1"/>
  <c r="N91" i="1"/>
  <c r="P91" i="1" s="1"/>
  <c r="Q91" i="1" s="1"/>
  <c r="D91" i="1" s="1"/>
  <c r="AA234" i="3"/>
  <c r="AB234" i="3" s="1"/>
  <c r="AA56" i="3"/>
  <c r="AB56" i="3" s="1"/>
  <c r="AA44" i="3"/>
  <c r="AB44" i="3" s="1"/>
  <c r="AA123" i="3"/>
  <c r="AB123" i="3" s="1"/>
  <c r="AA27" i="3"/>
  <c r="AB27" i="3" s="1"/>
  <c r="AA124" i="3"/>
  <c r="AB124" i="3" s="1"/>
  <c r="AA171" i="3"/>
  <c r="AB171" i="3" s="1"/>
  <c r="AA38" i="3"/>
  <c r="AB38" i="3" s="1"/>
  <c r="AA30" i="3"/>
  <c r="AB30" i="3" s="1"/>
  <c r="AA97" i="3"/>
  <c r="AB97" i="3" s="1"/>
  <c r="AA26" i="3"/>
  <c r="AB26" i="3" s="1"/>
  <c r="AA83" i="3"/>
  <c r="AB83" i="3" s="1"/>
  <c r="AA132" i="3"/>
  <c r="AB132" i="3" s="1"/>
  <c r="AA51" i="3"/>
  <c r="AB51" i="3" s="1"/>
  <c r="AA134" i="3"/>
  <c r="AB134" i="3" s="1"/>
  <c r="AA100" i="3"/>
  <c r="AB100" i="3" s="1"/>
  <c r="AA102" i="3"/>
  <c r="AB102" i="3" s="1"/>
  <c r="AA42" i="3"/>
  <c r="AB42" i="3" s="1"/>
  <c r="AA93" i="3"/>
  <c r="AB93" i="3" s="1"/>
  <c r="AA26" i="2"/>
  <c r="AB26" i="2" s="1"/>
  <c r="N26" i="2" s="1"/>
  <c r="AA8" i="2"/>
  <c r="AB8" i="2" s="1"/>
  <c r="N8" i="2" s="1"/>
  <c r="Q22" i="6" l="1"/>
  <c r="D22" i="6" s="1"/>
  <c r="Q25" i="6"/>
  <c r="D25" i="6" s="1"/>
  <c r="Q105" i="6"/>
  <c r="D105" i="6" s="1"/>
  <c r="Q94" i="6"/>
  <c r="D94" i="6" s="1"/>
  <c r="P109" i="6"/>
  <c r="P99" i="6"/>
  <c r="P87" i="6"/>
  <c r="P29" i="6"/>
  <c r="P107" i="6"/>
  <c r="P53" i="6"/>
  <c r="P8" i="2"/>
  <c r="Q8" i="2" s="1"/>
  <c r="D8" i="2" s="1"/>
  <c r="P26" i="2"/>
  <c r="Q26" i="2" s="1"/>
  <c r="D26" i="2" s="1"/>
  <c r="N123" i="3"/>
  <c r="P123" i="3" s="1"/>
  <c r="Q123" i="3" s="1"/>
  <c r="D123" i="3" s="1"/>
  <c r="N44" i="3"/>
  <c r="P44" i="3" s="1"/>
  <c r="Q44" i="3" s="1"/>
  <c r="D44" i="3" s="1"/>
  <c r="N51" i="3"/>
  <c r="P51" i="3" s="1"/>
  <c r="Q51" i="3" s="1"/>
  <c r="D51" i="3" s="1"/>
  <c r="N56" i="3"/>
  <c r="P56" i="3" s="1"/>
  <c r="Q56" i="3" s="1"/>
  <c r="D56" i="3" s="1"/>
  <c r="N26" i="3"/>
  <c r="P26" i="3" s="1"/>
  <c r="Q26" i="3" s="1"/>
  <c r="D26" i="3" s="1"/>
  <c r="N97" i="3"/>
  <c r="P97" i="3" s="1"/>
  <c r="Q97" i="3" s="1"/>
  <c r="D97" i="3" s="1"/>
  <c r="N93" i="3"/>
  <c r="P93" i="3" s="1"/>
  <c r="Q93" i="3" s="1"/>
  <c r="D93" i="3" s="1"/>
  <c r="N38" i="3"/>
  <c r="P38" i="3" s="1"/>
  <c r="Q38" i="3" s="1"/>
  <c r="D38" i="3" s="1"/>
  <c r="N124" i="3"/>
  <c r="P124" i="3" s="1"/>
  <c r="Q124" i="3" s="1"/>
  <c r="D124" i="3" s="1"/>
  <c r="N83" i="3"/>
  <c r="P83" i="3" s="1"/>
  <c r="Q83" i="3" s="1"/>
  <c r="D83" i="3" s="1"/>
  <c r="N234" i="3"/>
  <c r="P234" i="3" s="1"/>
  <c r="Q234" i="3" s="1"/>
  <c r="D234" i="3" s="1"/>
  <c r="N132" i="3"/>
  <c r="P132" i="3" s="1"/>
  <c r="Q132" i="3" s="1"/>
  <c r="D132" i="3" s="1"/>
  <c r="N100" i="3"/>
  <c r="P100" i="3" s="1"/>
  <c r="Q100" i="3" s="1"/>
  <c r="D100" i="3" s="1"/>
  <c r="N171" i="3"/>
  <c r="P171" i="3" s="1"/>
  <c r="Q171" i="3" s="1"/>
  <c r="D171" i="3" s="1"/>
  <c r="N30" i="3"/>
  <c r="P30" i="3" s="1"/>
  <c r="Q30" i="3" s="1"/>
  <c r="D30" i="3" s="1"/>
  <c r="N27" i="3"/>
  <c r="P27" i="3" s="1"/>
  <c r="Q27" i="3" s="1"/>
  <c r="D27" i="3" s="1"/>
  <c r="N42" i="3"/>
  <c r="P42" i="3" s="1"/>
  <c r="Q42" i="3" s="1"/>
  <c r="D42" i="3" s="1"/>
  <c r="N102" i="3"/>
  <c r="P102" i="3" s="1"/>
  <c r="Q102" i="3" s="1"/>
  <c r="D102" i="3" s="1"/>
  <c r="N134" i="3"/>
  <c r="P134" i="3" s="1"/>
  <c r="Q134" i="3" s="1"/>
  <c r="D134" i="3" s="1"/>
  <c r="N203" i="1"/>
  <c r="P203" i="1" s="1"/>
  <c r="Q203" i="1" s="1"/>
  <c r="D203" i="1" s="1"/>
  <c r="N82" i="1"/>
  <c r="P82" i="1" s="1"/>
  <c r="Q82" i="1" s="1"/>
  <c r="D82" i="1" s="1"/>
  <c r="N171" i="1"/>
  <c r="P171" i="1" s="1"/>
  <c r="Q171" i="1" s="1"/>
  <c r="D171" i="1" s="1"/>
  <c r="N180" i="1"/>
  <c r="P180" i="1" s="1"/>
  <c r="Q180" i="1" s="1"/>
  <c r="D180" i="1" s="1"/>
  <c r="N38" i="1"/>
  <c r="P38" i="1" s="1"/>
  <c r="Q38" i="1" s="1"/>
  <c r="D38" i="1" s="1"/>
  <c r="N154" i="1"/>
  <c r="P154" i="1" s="1"/>
  <c r="Q154" i="1" s="1"/>
  <c r="D154" i="1" s="1"/>
  <c r="N11" i="1"/>
  <c r="P11" i="1" s="1"/>
  <c r="Q11" i="1" s="1"/>
  <c r="D11" i="1" s="1"/>
  <c r="N47" i="1"/>
  <c r="P47" i="1" s="1"/>
  <c r="Q47" i="1" s="1"/>
  <c r="D47" i="1" s="1"/>
  <c r="N166" i="1"/>
  <c r="P166" i="1" s="1"/>
  <c r="Q166" i="1" s="1"/>
  <c r="D166" i="1" s="1"/>
  <c r="N172" i="1"/>
  <c r="P172" i="1" s="1"/>
  <c r="Q172" i="1" s="1"/>
  <c r="D172" i="1" s="1"/>
  <c r="N88" i="1"/>
  <c r="P88" i="1" s="1"/>
  <c r="Q88" i="1" s="1"/>
  <c r="D88" i="1" s="1"/>
  <c r="N24" i="1"/>
  <c r="P24" i="1" s="1"/>
  <c r="Q24" i="1" s="1"/>
  <c r="D24" i="1" s="1"/>
  <c r="N26" i="1"/>
  <c r="P26" i="1" s="1"/>
  <c r="Q26" i="1" s="1"/>
  <c r="D26" i="1" s="1"/>
  <c r="N13" i="1"/>
  <c r="P13" i="1" s="1"/>
  <c r="Q13" i="1" s="1"/>
  <c r="D13" i="1" s="1"/>
  <c r="N46" i="1"/>
  <c r="P46" i="1" s="1"/>
  <c r="Q46" i="1" s="1"/>
  <c r="D46" i="1" s="1"/>
  <c r="N57" i="1"/>
  <c r="P57" i="1" s="1"/>
  <c r="Q57" i="1" s="1"/>
  <c r="D57" i="1" s="1"/>
  <c r="N80" i="1"/>
  <c r="P80" i="1" s="1"/>
  <c r="Q80" i="1" s="1"/>
  <c r="D80" i="1" s="1"/>
  <c r="N69" i="1"/>
  <c r="P69" i="1" s="1"/>
  <c r="Q69" i="1" s="1"/>
  <c r="D69" i="1" s="1"/>
  <c r="N130" i="1"/>
  <c r="P130" i="1" s="1"/>
  <c r="Q130" i="1" s="1"/>
  <c r="D130" i="1" s="1"/>
  <c r="N174" i="1"/>
  <c r="P174" i="1" s="1"/>
  <c r="Q174" i="1" s="1"/>
  <c r="D174" i="1" s="1"/>
  <c r="N141" i="1"/>
  <c r="P141" i="1" s="1"/>
  <c r="Q141" i="1" s="1"/>
  <c r="D141" i="1" s="1"/>
  <c r="X125" i="1"/>
  <c r="X119" i="1"/>
  <c r="X14" i="1"/>
  <c r="AA14" i="1" s="1"/>
  <c r="AB14" i="1" s="1"/>
  <c r="X35" i="1"/>
  <c r="X127" i="1"/>
  <c r="AA127" i="1" s="1"/>
  <c r="AB127" i="1" s="1"/>
  <c r="X121" i="1"/>
  <c r="X210" i="1"/>
  <c r="X43" i="1"/>
  <c r="AA43" i="1" s="1"/>
  <c r="AB43" i="1" s="1"/>
  <c r="X112" i="1"/>
  <c r="X89" i="1"/>
  <c r="X208" i="1"/>
  <c r="X153" i="1"/>
  <c r="AA153" i="1" s="1"/>
  <c r="AB153" i="1" s="1"/>
  <c r="X134" i="1"/>
  <c r="AA134" i="1" s="1"/>
  <c r="AB134" i="1" s="1"/>
  <c r="X77" i="1"/>
  <c r="AA77" i="1" s="1"/>
  <c r="AB77" i="1" s="1"/>
  <c r="X58" i="1"/>
  <c r="AA58" i="1" s="1"/>
  <c r="AB58" i="1" s="1"/>
  <c r="X37" i="1"/>
  <c r="X144" i="1"/>
  <c r="AA144" i="1" s="1"/>
  <c r="AB144" i="1" s="1"/>
  <c r="X40" i="1"/>
  <c r="AA40" i="1" s="1"/>
  <c r="AB40" i="1" s="1"/>
  <c r="X197" i="1"/>
  <c r="X60" i="1"/>
  <c r="AA60" i="1" s="1"/>
  <c r="AB60" i="1" s="1"/>
  <c r="X214" i="1"/>
  <c r="AA214" i="1" s="1"/>
  <c r="AB214" i="1" s="1"/>
  <c r="X19" i="1"/>
  <c r="X54" i="1"/>
  <c r="X201" i="1"/>
  <c r="AA201" i="1" s="1"/>
  <c r="AB201" i="1" s="1"/>
  <c r="X102" i="1"/>
  <c r="AA102" i="1" s="1"/>
  <c r="AB102" i="1" s="1"/>
  <c r="X126" i="1"/>
  <c r="X31" i="1"/>
  <c r="W15" i="5"/>
  <c r="W35" i="5"/>
  <c r="W24" i="5"/>
  <c r="W14" i="5"/>
  <c r="W32" i="5"/>
  <c r="W28" i="2"/>
  <c r="W210" i="3"/>
  <c r="W8" i="3"/>
  <c r="W13" i="3"/>
  <c r="W19" i="3"/>
  <c r="W90" i="3"/>
  <c r="W43" i="3"/>
  <c r="W99" i="1"/>
  <c r="AA99" i="1" s="1"/>
  <c r="AB99" i="1" s="1"/>
  <c r="W117" i="1"/>
  <c r="AA117" i="1" s="1"/>
  <c r="AB117" i="1" s="1"/>
  <c r="W21" i="1"/>
  <c r="W165" i="1"/>
  <c r="W45" i="1"/>
  <c r="W32" i="1"/>
  <c r="W12" i="1"/>
  <c r="W8" i="1"/>
  <c r="Y6" i="1"/>
  <c r="W6" i="1"/>
  <c r="W9" i="1"/>
  <c r="W25" i="1"/>
  <c r="W6" i="3"/>
  <c r="W17" i="3"/>
  <c r="W14" i="3"/>
  <c r="W20" i="3"/>
  <c r="Q107" i="6" l="1"/>
  <c r="D107" i="6" s="1"/>
  <c r="Q87" i="6"/>
  <c r="D87" i="6" s="1"/>
  <c r="Q109" i="6"/>
  <c r="D109" i="6" s="1"/>
  <c r="Q53" i="6"/>
  <c r="D53" i="6" s="1"/>
  <c r="Q29" i="6"/>
  <c r="D29" i="6" s="1"/>
  <c r="Q99" i="6"/>
  <c r="D99" i="6" s="1"/>
  <c r="AA6" i="1"/>
  <c r="AB6" i="1" s="1"/>
  <c r="N6" i="1" s="1"/>
  <c r="N117" i="1"/>
  <c r="P117" i="1" s="1"/>
  <c r="Q117" i="1" s="1"/>
  <c r="D117" i="1" s="1"/>
  <c r="AA43" i="3"/>
  <c r="AB43" i="3" s="1"/>
  <c r="AA28" i="2"/>
  <c r="AB28" i="2" s="1"/>
  <c r="N28" i="2" s="1"/>
  <c r="W94" i="3"/>
  <c r="W11" i="2"/>
  <c r="W14" i="2"/>
  <c r="W19" i="2"/>
  <c r="W86" i="1"/>
  <c r="W29" i="1"/>
  <c r="W15" i="1"/>
  <c r="W9" i="2"/>
  <c r="W18" i="1"/>
  <c r="V16" i="5"/>
  <c r="V6" i="5"/>
  <c r="V13" i="5"/>
  <c r="V21" i="5"/>
  <c r="V26" i="5"/>
  <c r="V35" i="5"/>
  <c r="V10" i="5"/>
  <c r="V15" i="5"/>
  <c r="V14" i="5"/>
  <c r="V24" i="5"/>
  <c r="V12" i="5"/>
  <c r="V32" i="5"/>
  <c r="W246" i="3"/>
  <c r="W191" i="3"/>
  <c r="W115" i="3"/>
  <c r="W185" i="3"/>
  <c r="W244" i="3"/>
  <c r="W126" i="3"/>
  <c r="W197" i="3"/>
  <c r="W226" i="3"/>
  <c r="W214" i="3"/>
  <c r="V22" i="5"/>
  <c r="W54" i="1"/>
  <c r="AA54" i="1" s="1"/>
  <c r="AB54" i="1" s="1"/>
  <c r="W138" i="1"/>
  <c r="AA138" i="1" s="1"/>
  <c r="AB138" i="1" s="1"/>
  <c r="W110" i="1"/>
  <c r="W87" i="1"/>
  <c r="AA87" i="1" s="1"/>
  <c r="AB87" i="1" s="1"/>
  <c r="W73" i="1"/>
  <c r="AA73" i="1" s="1"/>
  <c r="AB73" i="1" s="1"/>
  <c r="W169" i="1"/>
  <c r="W189" i="1"/>
  <c r="AA189" i="1" s="1"/>
  <c r="AB189" i="1" s="1"/>
  <c r="W36" i="1"/>
  <c r="AA36" i="1" s="1"/>
  <c r="AB36" i="1" s="1"/>
  <c r="W208" i="1"/>
  <c r="AA208" i="1" s="1"/>
  <c r="AB208" i="1" s="1"/>
  <c r="W121" i="1"/>
  <c r="AA121" i="1" s="1"/>
  <c r="AB121" i="1" s="1"/>
  <c r="W112" i="1"/>
  <c r="AA112" i="1" s="1"/>
  <c r="AB112" i="1" s="1"/>
  <c r="W126" i="1"/>
  <c r="AA126" i="1" s="1"/>
  <c r="AB126" i="1" s="1"/>
  <c r="W53" i="1"/>
  <c r="W135" i="1"/>
  <c r="AA135" i="1" s="1"/>
  <c r="AB135" i="1" s="1"/>
  <c r="W211" i="1"/>
  <c r="AA211" i="1" s="1"/>
  <c r="AB211" i="1" s="1"/>
  <c r="W116" i="1"/>
  <c r="AA116" i="1" s="1"/>
  <c r="AB116" i="1" s="1"/>
  <c r="W19" i="1"/>
  <c r="AA19" i="1" s="1"/>
  <c r="AB19" i="1" s="1"/>
  <c r="W146" i="1"/>
  <c r="AA146" i="1" s="1"/>
  <c r="AB146" i="1" s="1"/>
  <c r="W52" i="1"/>
  <c r="AA52" i="1" s="1"/>
  <c r="AB52" i="1" s="1"/>
  <c r="W197" i="1"/>
  <c r="W37" i="1"/>
  <c r="AA37" i="1" s="1"/>
  <c r="AB37" i="1" s="1"/>
  <c r="W75" i="1"/>
  <c r="W210" i="1"/>
  <c r="AA210" i="1" s="1"/>
  <c r="AB210" i="1" s="1"/>
  <c r="W90" i="1"/>
  <c r="W113" i="1"/>
  <c r="AA113" i="1" s="1"/>
  <c r="AB113" i="1" s="1"/>
  <c r="W23" i="1"/>
  <c r="W31" i="1"/>
  <c r="AA31" i="1" s="1"/>
  <c r="AB31" i="1" s="1"/>
  <c r="V120" i="6"/>
  <c r="AA120" i="6" s="1"/>
  <c r="AB120" i="6" s="1"/>
  <c r="N120" i="6" s="1"/>
  <c r="V14" i="8"/>
  <c r="V15" i="6"/>
  <c r="V14" i="6"/>
  <c r="V6" i="6"/>
  <c r="V96" i="6"/>
  <c r="AA96" i="6" s="1"/>
  <c r="AB96" i="6" s="1"/>
  <c r="N96" i="6" s="1"/>
  <c r="V119" i="6"/>
  <c r="AA119" i="6" s="1"/>
  <c r="AB119" i="6" s="1"/>
  <c r="N119" i="6" s="1"/>
  <c r="V123" i="6"/>
  <c r="AA123" i="6" s="1"/>
  <c r="AB123" i="6" s="1"/>
  <c r="N123" i="6" s="1"/>
  <c r="V42" i="6"/>
  <c r="AA42" i="6" s="1"/>
  <c r="AB42" i="6" s="1"/>
  <c r="N42" i="6" s="1"/>
  <c r="V13" i="3"/>
  <c r="V72" i="3"/>
  <c r="V67" i="3"/>
  <c r="V160" i="3"/>
  <c r="V206" i="3"/>
  <c r="V47" i="3"/>
  <c r="V173" i="3"/>
  <c r="V120" i="3"/>
  <c r="V17" i="3"/>
  <c r="V6" i="3"/>
  <c r="V154" i="3"/>
  <c r="V254" i="3"/>
  <c r="V226" i="3"/>
  <c r="V197" i="3"/>
  <c r="V88" i="3"/>
  <c r="V182" i="3"/>
  <c r="V202" i="3"/>
  <c r="V90" i="3"/>
  <c r="V76" i="1"/>
  <c r="AA76" i="1" s="1"/>
  <c r="AB76" i="1" s="1"/>
  <c r="V30" i="1"/>
  <c r="V32" i="1"/>
  <c r="V9" i="1"/>
  <c r="V8" i="1"/>
  <c r="V12" i="1"/>
  <c r="V6" i="2"/>
  <c r="V25" i="1"/>
  <c r="V95" i="1"/>
  <c r="AA95" i="1" s="1"/>
  <c r="AB95" i="1" s="1"/>
  <c r="V21" i="1"/>
  <c r="AA21" i="1" s="1"/>
  <c r="AB21" i="1" s="1"/>
  <c r="V165" i="1"/>
  <c r="AA165" i="1" s="1"/>
  <c r="AB165" i="1" s="1"/>
  <c r="V45" i="1"/>
  <c r="AA45" i="1" s="1"/>
  <c r="AB45" i="1" s="1"/>
  <c r="V59" i="1"/>
  <c r="V142" i="1"/>
  <c r="AA142" i="1" s="1"/>
  <c r="AB142" i="1" s="1"/>
  <c r="V54" i="6"/>
  <c r="AA54" i="6" s="1"/>
  <c r="AB54" i="6" s="1"/>
  <c r="N54" i="6" s="1"/>
  <c r="V12" i="6"/>
  <c r="V92" i="6"/>
  <c r="V113" i="6"/>
  <c r="AA113" i="6" s="1"/>
  <c r="AB113" i="6" s="1"/>
  <c r="N113" i="6" s="1"/>
  <c r="Y14" i="6"/>
  <c r="Y6" i="6"/>
  <c r="V10" i="6"/>
  <c r="V28" i="6"/>
  <c r="AA28" i="6" s="1"/>
  <c r="AB28" i="6" s="1"/>
  <c r="N28" i="6" s="1"/>
  <c r="V103" i="6"/>
  <c r="AA103" i="6" s="1"/>
  <c r="AB103" i="6" s="1"/>
  <c r="N103" i="6" s="1"/>
  <c r="V38" i="6"/>
  <c r="AA38" i="6" s="1"/>
  <c r="AB38" i="6" s="1"/>
  <c r="N38" i="6" s="1"/>
  <c r="V9" i="8"/>
  <c r="Y9" i="8"/>
  <c r="V59" i="6"/>
  <c r="AA59" i="6" s="1"/>
  <c r="AB59" i="6" s="1"/>
  <c r="N59" i="6" s="1"/>
  <c r="V13" i="4"/>
  <c r="V26" i="4"/>
  <c r="Y26" i="4"/>
  <c r="V211" i="3"/>
  <c r="V98" i="3"/>
  <c r="V23" i="3"/>
  <c r="Y23" i="3"/>
  <c r="V20" i="3"/>
  <c r="Y6" i="3"/>
  <c r="V94" i="3"/>
  <c r="V188" i="3"/>
  <c r="V14" i="3"/>
  <c r="V53" i="3"/>
  <c r="V19" i="3"/>
  <c r="V175" i="3"/>
  <c r="V74" i="3"/>
  <c r="V251" i="3"/>
  <c r="V249" i="3"/>
  <c r="V16" i="2"/>
  <c r="V11" i="2"/>
  <c r="V27" i="2"/>
  <c r="V19" i="2"/>
  <c r="V14" i="2"/>
  <c r="V18" i="2"/>
  <c r="V183" i="1"/>
  <c r="AA183" i="1" s="1"/>
  <c r="AB183" i="1" s="1"/>
  <c r="V53" i="1"/>
  <c r="V86" i="1"/>
  <c r="V29" i="1"/>
  <c r="Y8" i="1"/>
  <c r="V18" i="1"/>
  <c r="V125" i="1"/>
  <c r="Y125" i="1"/>
  <c r="Y12" i="1"/>
  <c r="V20" i="1"/>
  <c r="V199" i="1"/>
  <c r="V15" i="1"/>
  <c r="V195" i="1"/>
  <c r="V90" i="1"/>
  <c r="V15" i="2"/>
  <c r="V66" i="1"/>
  <c r="AA66" i="1" s="1"/>
  <c r="AB66" i="1" s="1"/>
  <c r="V25" i="2"/>
  <c r="V100" i="1"/>
  <c r="AA100" i="1" s="1"/>
  <c r="AB100" i="1" s="1"/>
  <c r="V71" i="1"/>
  <c r="AA71" i="1" s="1"/>
  <c r="AB71" i="1" s="1"/>
  <c r="V197" i="1"/>
  <c r="V75" i="1"/>
  <c r="V49" i="1"/>
  <c r="V68" i="1"/>
  <c r="V89" i="1"/>
  <c r="V28" i="1"/>
  <c r="AA28" i="1" s="1"/>
  <c r="AB28" i="1" s="1"/>
  <c r="V157" i="1"/>
  <c r="V110" i="1"/>
  <c r="V35" i="1"/>
  <c r="U35" i="1"/>
  <c r="S35" i="1"/>
  <c r="V62" i="1"/>
  <c r="AA62" i="1" s="1"/>
  <c r="AB62" i="1" s="1"/>
  <c r="V119" i="1"/>
  <c r="AA119" i="1" s="1"/>
  <c r="AB119" i="1" s="1"/>
  <c r="AA35" i="1" l="1"/>
  <c r="AB35" i="1" s="1"/>
  <c r="AA125" i="1"/>
  <c r="AB125" i="1" s="1"/>
  <c r="AA18" i="1"/>
  <c r="AB18" i="1" s="1"/>
  <c r="AA75" i="1"/>
  <c r="AB75" i="1" s="1"/>
  <c r="AA12" i="1"/>
  <c r="AB12" i="1" s="1"/>
  <c r="AA53" i="1"/>
  <c r="AB53" i="1" s="1"/>
  <c r="N53" i="1" s="1"/>
  <c r="P53" i="1" s="1"/>
  <c r="Q53" i="1" s="1"/>
  <c r="D53" i="1" s="1"/>
  <c r="AA8" i="1"/>
  <c r="AB8" i="1" s="1"/>
  <c r="P113" i="6"/>
  <c r="P54" i="6"/>
  <c r="P119" i="6"/>
  <c r="P59" i="6"/>
  <c r="P103" i="6"/>
  <c r="P42" i="6"/>
  <c r="P123" i="6"/>
  <c r="P96" i="6"/>
  <c r="P38" i="6"/>
  <c r="P28" i="6"/>
  <c r="P120" i="6"/>
  <c r="P28" i="2"/>
  <c r="Q28" i="2" s="1"/>
  <c r="D28" i="2" s="1"/>
  <c r="P6" i="1"/>
  <c r="Q6" i="1" s="1"/>
  <c r="D6" i="1" s="1"/>
  <c r="AA9" i="8"/>
  <c r="AB9" i="8" s="1"/>
  <c r="N9" i="8" s="1"/>
  <c r="AA14" i="6"/>
  <c r="AB14" i="6" s="1"/>
  <c r="N14" i="6" s="1"/>
  <c r="AA14" i="8"/>
  <c r="AB14" i="8" s="1"/>
  <c r="N14" i="8" s="1"/>
  <c r="AA6" i="6"/>
  <c r="AA26" i="4"/>
  <c r="AB26" i="4" s="1"/>
  <c r="N26" i="4" s="1"/>
  <c r="AA13" i="4"/>
  <c r="AB13" i="4" s="1"/>
  <c r="N13" i="4" s="1"/>
  <c r="N43" i="3"/>
  <c r="P43" i="3" s="1"/>
  <c r="Q43" i="3" s="1"/>
  <c r="D43" i="3" s="1"/>
  <c r="N58" i="1"/>
  <c r="P58" i="1" s="1"/>
  <c r="Q58" i="1" s="1"/>
  <c r="D58" i="1" s="1"/>
  <c r="N144" i="1"/>
  <c r="P144" i="1" s="1"/>
  <c r="Q144" i="1" s="1"/>
  <c r="D144" i="1" s="1"/>
  <c r="N60" i="1"/>
  <c r="P60" i="1" s="1"/>
  <c r="Q60" i="1" s="1"/>
  <c r="D60" i="1" s="1"/>
  <c r="N77" i="1"/>
  <c r="P77" i="1" s="1"/>
  <c r="Q77" i="1" s="1"/>
  <c r="D77" i="1" s="1"/>
  <c r="N14" i="1"/>
  <c r="P14" i="1" s="1"/>
  <c r="Q14" i="1" s="1"/>
  <c r="D14" i="1" s="1"/>
  <c r="N127" i="1"/>
  <c r="P127" i="1" s="1"/>
  <c r="Q127" i="1" s="1"/>
  <c r="D127" i="1" s="1"/>
  <c r="N201" i="1"/>
  <c r="P201" i="1" s="1"/>
  <c r="Q201" i="1" s="1"/>
  <c r="D201" i="1" s="1"/>
  <c r="N102" i="1"/>
  <c r="P102" i="1" s="1"/>
  <c r="Q102" i="1" s="1"/>
  <c r="D102" i="1" s="1"/>
  <c r="N43" i="1"/>
  <c r="P43" i="1" s="1"/>
  <c r="Q43" i="1" s="1"/>
  <c r="D43" i="1" s="1"/>
  <c r="N153" i="1"/>
  <c r="P153" i="1" s="1"/>
  <c r="Q153" i="1" s="1"/>
  <c r="D153" i="1" s="1"/>
  <c r="N40" i="1"/>
  <c r="P40" i="1" s="1"/>
  <c r="Q40" i="1" s="1"/>
  <c r="D40" i="1" s="1"/>
  <c r="N134" i="1"/>
  <c r="P134" i="1" s="1"/>
  <c r="Q134" i="1" s="1"/>
  <c r="D134" i="1" s="1"/>
  <c r="N99" i="1"/>
  <c r="P99" i="1" s="1"/>
  <c r="Q99" i="1" s="1"/>
  <c r="D99" i="1" s="1"/>
  <c r="N214" i="1"/>
  <c r="P214" i="1" s="1"/>
  <c r="Q214" i="1" s="1"/>
  <c r="D214" i="1" s="1"/>
  <c r="AA23" i="3"/>
  <c r="AB23" i="3" s="1"/>
  <c r="AA6" i="3"/>
  <c r="AB6" i="3" s="1"/>
  <c r="AA160" i="3"/>
  <c r="AB160" i="3" s="1"/>
  <c r="AA249" i="3"/>
  <c r="AB249" i="3" s="1"/>
  <c r="AA206" i="3"/>
  <c r="AB206" i="3" s="1"/>
  <c r="AA67" i="3"/>
  <c r="AB67" i="3" s="1"/>
  <c r="AA202" i="3"/>
  <c r="AB202" i="3" s="1"/>
  <c r="AA182" i="3"/>
  <c r="AB182" i="3" s="1"/>
  <c r="AA191" i="3"/>
  <c r="AB191" i="3" s="1"/>
  <c r="AA246" i="3"/>
  <c r="AB246" i="3" s="1"/>
  <c r="AA251" i="3"/>
  <c r="AB251" i="3" s="1"/>
  <c r="AA88" i="3"/>
  <c r="AB88" i="3" s="1"/>
  <c r="AA188" i="3"/>
  <c r="AB188" i="3" s="1"/>
  <c r="AA197" i="3"/>
  <c r="AB197" i="3" s="1"/>
  <c r="AA13" i="3"/>
  <c r="AB13" i="3" s="1"/>
  <c r="AA74" i="3"/>
  <c r="AB74" i="3" s="1"/>
  <c r="AA226" i="3"/>
  <c r="AB226" i="3" s="1"/>
  <c r="AA98" i="3"/>
  <c r="AB98" i="3" s="1"/>
  <c r="AA254" i="3"/>
  <c r="AB254" i="3" s="1"/>
  <c r="AA214" i="3"/>
  <c r="AB214" i="3" s="1"/>
  <c r="AA126" i="3"/>
  <c r="AB126" i="3" s="1"/>
  <c r="AA244" i="3"/>
  <c r="AB244" i="3" s="1"/>
  <c r="AA19" i="3"/>
  <c r="AB19" i="3" s="1"/>
  <c r="AA47" i="3"/>
  <c r="AB47" i="3" s="1"/>
  <c r="AA185" i="3"/>
  <c r="AB185" i="3" s="1"/>
  <c r="AA175" i="3"/>
  <c r="AB175" i="3" s="1"/>
  <c r="AA154" i="3"/>
  <c r="AB154" i="3" s="1"/>
  <c r="AA115" i="3"/>
  <c r="AB115" i="3" s="1"/>
  <c r="Z16" i="5"/>
  <c r="AA16" i="5" s="1"/>
  <c r="M16" i="5" s="1"/>
  <c r="Z13" i="5"/>
  <c r="AA13" i="5" s="1"/>
  <c r="M13" i="5" s="1"/>
  <c r="Z12" i="5"/>
  <c r="AA12" i="5" s="1"/>
  <c r="M12" i="5" s="1"/>
  <c r="Z10" i="5"/>
  <c r="AA10" i="5" s="1"/>
  <c r="M10" i="5" s="1"/>
  <c r="Z15" i="5"/>
  <c r="AA15" i="5" s="1"/>
  <c r="M15" i="5" s="1"/>
  <c r="Z14" i="5"/>
  <c r="AA14" i="5" s="1"/>
  <c r="M14" i="5" s="1"/>
  <c r="Z22" i="5"/>
  <c r="AA22" i="5" s="1"/>
  <c r="M22" i="5" s="1"/>
  <c r="Z26" i="5"/>
  <c r="AA26" i="5" s="1"/>
  <c r="M26" i="5" s="1"/>
  <c r="Z6" i="5"/>
  <c r="AA6" i="5" s="1"/>
  <c r="M6" i="5" s="1"/>
  <c r="Z21" i="5"/>
  <c r="AA21" i="5" s="1"/>
  <c r="M21" i="5" s="1"/>
  <c r="AA27" i="2"/>
  <c r="AB27" i="2" s="1"/>
  <c r="N27" i="2" s="1"/>
  <c r="AA15" i="2"/>
  <c r="AB15" i="2" s="1"/>
  <c r="N15" i="2" s="1"/>
  <c r="Q59" i="6" l="1"/>
  <c r="D59" i="6" s="1"/>
  <c r="Q42" i="6"/>
  <c r="D42" i="6" s="1"/>
  <c r="Q119" i="6"/>
  <c r="D119" i="6" s="1"/>
  <c r="Q113" i="6"/>
  <c r="D113" i="6" s="1"/>
  <c r="Q28" i="6"/>
  <c r="D28" i="6" s="1"/>
  <c r="Q96" i="6"/>
  <c r="D96" i="6" s="1"/>
  <c r="Q54" i="6"/>
  <c r="D54" i="6" s="1"/>
  <c r="Q38" i="6"/>
  <c r="D38" i="6" s="1"/>
  <c r="Q123" i="6"/>
  <c r="D123" i="6" s="1"/>
  <c r="Q103" i="6"/>
  <c r="D103" i="6" s="1"/>
  <c r="Q120" i="6"/>
  <c r="D120" i="6" s="1"/>
  <c r="P9" i="8"/>
  <c r="Q9" i="8" s="1"/>
  <c r="P14" i="8"/>
  <c r="Q14" i="8" s="1"/>
  <c r="P14" i="6"/>
  <c r="P26" i="4"/>
  <c r="Q26" i="4" s="1"/>
  <c r="D26" i="4" s="1"/>
  <c r="P13" i="4"/>
  <c r="Q13" i="4" s="1"/>
  <c r="D13" i="4" s="1"/>
  <c r="P27" i="2"/>
  <c r="Q27" i="2" s="1"/>
  <c r="D27" i="2" s="1"/>
  <c r="P15" i="2"/>
  <c r="Q15" i="2" s="1"/>
  <c r="D15" i="2" s="1"/>
  <c r="O10" i="5"/>
  <c r="P10" i="5" s="1"/>
  <c r="D10" i="5" s="1"/>
  <c r="O15" i="5"/>
  <c r="P15" i="5" s="1"/>
  <c r="D15" i="5" s="1"/>
  <c r="O21" i="5"/>
  <c r="P21" i="5" s="1"/>
  <c r="D21" i="5" s="1"/>
  <c r="O16" i="5"/>
  <c r="P16" i="5" s="1"/>
  <c r="D16" i="5" s="1"/>
  <c r="O22" i="5"/>
  <c r="P22" i="5" s="1"/>
  <c r="D22" i="5" s="1"/>
  <c r="O12" i="5"/>
  <c r="P12" i="5" s="1"/>
  <c r="D12" i="5" s="1"/>
  <c r="O13" i="5"/>
  <c r="P13" i="5" s="1"/>
  <c r="D13" i="5" s="1"/>
  <c r="O6" i="5"/>
  <c r="O26" i="5"/>
  <c r="P26" i="5" s="1"/>
  <c r="D26" i="5" s="1"/>
  <c r="O14" i="5"/>
  <c r="P14" i="5" s="1"/>
  <c r="D14" i="5" s="1"/>
  <c r="AB6" i="6"/>
  <c r="N6" i="6" s="1"/>
  <c r="N19" i="3"/>
  <c r="P19" i="3" s="1"/>
  <c r="Q19" i="3" s="1"/>
  <c r="D19" i="3" s="1"/>
  <c r="N226" i="3"/>
  <c r="P226" i="3" s="1"/>
  <c r="Q226" i="3" s="1"/>
  <c r="D226" i="3" s="1"/>
  <c r="N67" i="3"/>
  <c r="P67" i="3" s="1"/>
  <c r="Q67" i="3" s="1"/>
  <c r="D67" i="3" s="1"/>
  <c r="N202" i="3"/>
  <c r="P202" i="3" s="1"/>
  <c r="Q202" i="3" s="1"/>
  <c r="D202" i="3" s="1"/>
  <c r="N74" i="3"/>
  <c r="P74" i="3" s="1"/>
  <c r="Q74" i="3" s="1"/>
  <c r="D74" i="3" s="1"/>
  <c r="N206" i="3"/>
  <c r="P206" i="3" s="1"/>
  <c r="Q206" i="3" s="1"/>
  <c r="D206" i="3" s="1"/>
  <c r="N249" i="3"/>
  <c r="P249" i="3" s="1"/>
  <c r="Q249" i="3" s="1"/>
  <c r="D249" i="3" s="1"/>
  <c r="N244" i="3"/>
  <c r="P244" i="3" s="1"/>
  <c r="Q244" i="3" s="1"/>
  <c r="D244" i="3" s="1"/>
  <c r="N13" i="3"/>
  <c r="P13" i="3" s="1"/>
  <c r="Q13" i="3" s="1"/>
  <c r="D13" i="3" s="1"/>
  <c r="N160" i="3"/>
  <c r="P160" i="3" s="1"/>
  <c r="Q160" i="3" s="1"/>
  <c r="D160" i="3" s="1"/>
  <c r="N197" i="3"/>
  <c r="P197" i="3" s="1"/>
  <c r="Q197" i="3" s="1"/>
  <c r="D197" i="3" s="1"/>
  <c r="N6" i="3"/>
  <c r="N126" i="3"/>
  <c r="P126" i="3" s="1"/>
  <c r="Q126" i="3" s="1"/>
  <c r="D126" i="3" s="1"/>
  <c r="N246" i="3"/>
  <c r="P246" i="3" s="1"/>
  <c r="Q246" i="3" s="1"/>
  <c r="D246" i="3" s="1"/>
  <c r="N47" i="3"/>
  <c r="P47" i="3" s="1"/>
  <c r="Q47" i="3" s="1"/>
  <c r="D47" i="3" s="1"/>
  <c r="N23" i="3"/>
  <c r="P23" i="3" s="1"/>
  <c r="Q23" i="3" s="1"/>
  <c r="D23" i="3" s="1"/>
  <c r="N214" i="3"/>
  <c r="P214" i="3" s="1"/>
  <c r="Q214" i="3" s="1"/>
  <c r="D214" i="3" s="1"/>
  <c r="N191" i="3"/>
  <c r="P191" i="3" s="1"/>
  <c r="Q191" i="3" s="1"/>
  <c r="D191" i="3" s="1"/>
  <c r="N115" i="3"/>
  <c r="P115" i="3" s="1"/>
  <c r="Q115" i="3" s="1"/>
  <c r="D115" i="3" s="1"/>
  <c r="N188" i="3"/>
  <c r="P188" i="3" s="1"/>
  <c r="Q188" i="3" s="1"/>
  <c r="D188" i="3" s="1"/>
  <c r="N251" i="3"/>
  <c r="P251" i="3" s="1"/>
  <c r="Q251" i="3" s="1"/>
  <c r="D251" i="3" s="1"/>
  <c r="N154" i="3"/>
  <c r="P154" i="3" s="1"/>
  <c r="Q154" i="3" s="1"/>
  <c r="D154" i="3" s="1"/>
  <c r="N175" i="3"/>
  <c r="P175" i="3" s="1"/>
  <c r="Q175" i="3" s="1"/>
  <c r="D175" i="3" s="1"/>
  <c r="N254" i="3"/>
  <c r="P254" i="3" s="1"/>
  <c r="Q254" i="3" s="1"/>
  <c r="D254" i="3" s="1"/>
  <c r="N182" i="3"/>
  <c r="P182" i="3" s="1"/>
  <c r="Q182" i="3" s="1"/>
  <c r="D182" i="3" s="1"/>
  <c r="N88" i="3"/>
  <c r="P88" i="3" s="1"/>
  <c r="Q88" i="3" s="1"/>
  <c r="D88" i="3" s="1"/>
  <c r="N185" i="3"/>
  <c r="P185" i="3" s="1"/>
  <c r="Q185" i="3" s="1"/>
  <c r="D185" i="3" s="1"/>
  <c r="N98" i="3"/>
  <c r="P98" i="3" s="1"/>
  <c r="Q98" i="3" s="1"/>
  <c r="D98" i="3" s="1"/>
  <c r="N8" i="1"/>
  <c r="P8" i="1" s="1"/>
  <c r="Q8" i="1" s="1"/>
  <c r="D8" i="1" s="1"/>
  <c r="N210" i="1"/>
  <c r="P210" i="1" s="1"/>
  <c r="Q210" i="1" s="1"/>
  <c r="D210" i="1" s="1"/>
  <c r="N146" i="1"/>
  <c r="P146" i="1" s="1"/>
  <c r="Q146" i="1" s="1"/>
  <c r="D146" i="1" s="1"/>
  <c r="N100" i="1"/>
  <c r="P100" i="1" s="1"/>
  <c r="Q100" i="1" s="1"/>
  <c r="D100" i="1" s="1"/>
  <c r="N95" i="1"/>
  <c r="P95" i="1" s="1"/>
  <c r="Q95" i="1" s="1"/>
  <c r="D95" i="1" s="1"/>
  <c r="N135" i="1"/>
  <c r="P135" i="1" s="1"/>
  <c r="Q135" i="1" s="1"/>
  <c r="D135" i="1" s="1"/>
  <c r="N112" i="1"/>
  <c r="P112" i="1" s="1"/>
  <c r="Q112" i="1" s="1"/>
  <c r="D112" i="1" s="1"/>
  <c r="N165" i="1"/>
  <c r="P165" i="1" s="1"/>
  <c r="Q165" i="1" s="1"/>
  <c r="D165" i="1" s="1"/>
  <c r="N54" i="1"/>
  <c r="P54" i="1" s="1"/>
  <c r="Q54" i="1" s="1"/>
  <c r="D54" i="1" s="1"/>
  <c r="N211" i="1"/>
  <c r="P211" i="1" s="1"/>
  <c r="Q211" i="1" s="1"/>
  <c r="D211" i="1" s="1"/>
  <c r="N189" i="1"/>
  <c r="P189" i="1" s="1"/>
  <c r="Q189" i="1" s="1"/>
  <c r="D189" i="1" s="1"/>
  <c r="N28" i="1"/>
  <c r="P28" i="1" s="1"/>
  <c r="Q28" i="1" s="1"/>
  <c r="D28" i="1" s="1"/>
  <c r="N21" i="1"/>
  <c r="P21" i="1" s="1"/>
  <c r="Q21" i="1" s="1"/>
  <c r="D21" i="1" s="1"/>
  <c r="N142" i="1"/>
  <c r="P142" i="1" s="1"/>
  <c r="Q142" i="1" s="1"/>
  <c r="D142" i="1" s="1"/>
  <c r="N37" i="1"/>
  <c r="P37" i="1" s="1"/>
  <c r="Q37" i="1" s="1"/>
  <c r="D37" i="1" s="1"/>
  <c r="N116" i="1"/>
  <c r="P116" i="1" s="1"/>
  <c r="Q116" i="1" s="1"/>
  <c r="D116" i="1" s="1"/>
  <c r="N35" i="1"/>
  <c r="P35" i="1" s="1"/>
  <c r="Q35" i="1" s="1"/>
  <c r="D35" i="1" s="1"/>
  <c r="N45" i="1"/>
  <c r="P45" i="1" s="1"/>
  <c r="Q45" i="1" s="1"/>
  <c r="D45" i="1" s="1"/>
  <c r="N75" i="1"/>
  <c r="P75" i="1" s="1"/>
  <c r="Q75" i="1" s="1"/>
  <c r="D75" i="1" s="1"/>
  <c r="N138" i="1"/>
  <c r="P138" i="1" s="1"/>
  <c r="Q138" i="1" s="1"/>
  <c r="D138" i="1" s="1"/>
  <c r="N121" i="1"/>
  <c r="P121" i="1" s="1"/>
  <c r="Q121" i="1" s="1"/>
  <c r="D121" i="1" s="1"/>
  <c r="N119" i="1"/>
  <c r="P119" i="1" s="1"/>
  <c r="Q119" i="1" s="1"/>
  <c r="D119" i="1" s="1"/>
  <c r="N87" i="1"/>
  <c r="P87" i="1" s="1"/>
  <c r="Q87" i="1" s="1"/>
  <c r="D87" i="1" s="1"/>
  <c r="N19" i="1"/>
  <c r="P19" i="1" s="1"/>
  <c r="Q19" i="1" s="1"/>
  <c r="D19" i="1" s="1"/>
  <c r="N125" i="1"/>
  <c r="P125" i="1" s="1"/>
  <c r="Q125" i="1" s="1"/>
  <c r="D125" i="1" s="1"/>
  <c r="N36" i="1"/>
  <c r="P36" i="1" s="1"/>
  <c r="Q36" i="1" s="1"/>
  <c r="D36" i="1" s="1"/>
  <c r="N31" i="1"/>
  <c r="P31" i="1" s="1"/>
  <c r="Q31" i="1" s="1"/>
  <c r="D31" i="1" s="1"/>
  <c r="N73" i="1"/>
  <c r="P73" i="1" s="1"/>
  <c r="Q73" i="1" s="1"/>
  <c r="D73" i="1" s="1"/>
  <c r="N113" i="1"/>
  <c r="P113" i="1" s="1"/>
  <c r="Q113" i="1" s="1"/>
  <c r="D113" i="1" s="1"/>
  <c r="N12" i="1"/>
  <c r="P12" i="1" s="1"/>
  <c r="Q12" i="1" s="1"/>
  <c r="D12" i="1" s="1"/>
  <c r="N52" i="1"/>
  <c r="P52" i="1" s="1"/>
  <c r="Q52" i="1" s="1"/>
  <c r="D52" i="1" s="1"/>
  <c r="N208" i="1"/>
  <c r="P208" i="1" s="1"/>
  <c r="Q208" i="1" s="1"/>
  <c r="D208" i="1" s="1"/>
  <c r="N183" i="1"/>
  <c r="P183" i="1" s="1"/>
  <c r="Q183" i="1" s="1"/>
  <c r="D183" i="1" s="1"/>
  <c r="N66" i="1"/>
  <c r="P66" i="1" s="1"/>
  <c r="Q66" i="1" s="1"/>
  <c r="D66" i="1" s="1"/>
  <c r="N76" i="1"/>
  <c r="P76" i="1" s="1"/>
  <c r="Q76" i="1" s="1"/>
  <c r="D76" i="1" s="1"/>
  <c r="N126" i="1"/>
  <c r="P126" i="1" s="1"/>
  <c r="Q126" i="1" s="1"/>
  <c r="D126" i="1" s="1"/>
  <c r="N71" i="1"/>
  <c r="P71" i="1" s="1"/>
  <c r="Q71" i="1" s="1"/>
  <c r="D71" i="1" s="1"/>
  <c r="N62" i="1"/>
  <c r="P62" i="1" s="1"/>
  <c r="Q62" i="1" s="1"/>
  <c r="D62" i="1" s="1"/>
  <c r="N18" i="1"/>
  <c r="P18" i="1" s="1"/>
  <c r="Q18" i="1" s="1"/>
  <c r="D18" i="1" s="1"/>
  <c r="V23" i="1"/>
  <c r="AA23" i="1" s="1"/>
  <c r="AB23" i="1" s="1"/>
  <c r="V205" i="1"/>
  <c r="AA205" i="1" s="1"/>
  <c r="AB205" i="1" s="1"/>
  <c r="U28" i="5"/>
  <c r="U24" i="5"/>
  <c r="U18" i="5"/>
  <c r="U35" i="5"/>
  <c r="U32" i="5"/>
  <c r="T17" i="5"/>
  <c r="T24" i="5"/>
  <c r="T32" i="5"/>
  <c r="U72" i="3"/>
  <c r="U20" i="1"/>
  <c r="U68" i="1"/>
  <c r="AA68" i="1" s="1"/>
  <c r="AB68" i="1" s="1"/>
  <c r="U17" i="1"/>
  <c r="U101" i="1"/>
  <c r="U9" i="1"/>
  <c r="U6" i="2"/>
  <c r="U25" i="1"/>
  <c r="U35" i="6"/>
  <c r="AA35" i="6" s="1"/>
  <c r="AB35" i="6" s="1"/>
  <c r="N35" i="6" s="1"/>
  <c r="U10" i="6"/>
  <c r="U94" i="3"/>
  <c r="U46" i="3"/>
  <c r="U8" i="3"/>
  <c r="Y8" i="3"/>
  <c r="U45" i="3"/>
  <c r="Y45" i="3"/>
  <c r="U40" i="3"/>
  <c r="U210" i="3"/>
  <c r="Y11" i="2"/>
  <c r="U11" i="2"/>
  <c r="U9" i="2"/>
  <c r="Y9" i="2"/>
  <c r="U18" i="2"/>
  <c r="U16" i="2"/>
  <c r="U19" i="2"/>
  <c r="Y6" i="2"/>
  <c r="U51" i="1"/>
  <c r="AA51" i="1" s="1"/>
  <c r="AB51" i="1" s="1"/>
  <c r="U64" i="1"/>
  <c r="AA64" i="1" s="1"/>
  <c r="AB64" i="1" s="1"/>
  <c r="U137" i="1"/>
  <c r="AA137" i="1" s="1"/>
  <c r="AB137" i="1" s="1"/>
  <c r="U79" i="1"/>
  <c r="AA79" i="1" s="1"/>
  <c r="AB79" i="1" s="1"/>
  <c r="U202" i="1"/>
  <c r="AA202" i="1" s="1"/>
  <c r="AB202" i="1" s="1"/>
  <c r="U158" i="1"/>
  <c r="AA158" i="1" s="1"/>
  <c r="AB158" i="1" s="1"/>
  <c r="U90" i="1"/>
  <c r="AA90" i="1" s="1"/>
  <c r="AB90" i="1" s="1"/>
  <c r="U213" i="1"/>
  <c r="AA213" i="1" s="1"/>
  <c r="AB213" i="1" s="1"/>
  <c r="U49" i="1"/>
  <c r="AA49" i="1" s="1"/>
  <c r="AB49" i="1" s="1"/>
  <c r="U110" i="1"/>
  <c r="AA110" i="1" s="1"/>
  <c r="AB110" i="1" s="1"/>
  <c r="U109" i="1"/>
  <c r="AA109" i="1" s="1"/>
  <c r="AB109" i="1" s="1"/>
  <c r="U184" i="1"/>
  <c r="AA184" i="1" s="1"/>
  <c r="AB184" i="1" s="1"/>
  <c r="U197" i="1"/>
  <c r="AA197" i="1" s="1"/>
  <c r="AB197" i="1" s="1"/>
  <c r="U81" i="1"/>
  <c r="AA81" i="1" s="1"/>
  <c r="AB81" i="1" s="1"/>
  <c r="U128" i="1"/>
  <c r="AA128" i="1" s="1"/>
  <c r="AB128" i="1" s="1"/>
  <c r="U27" i="1"/>
  <c r="AA27" i="1" s="1"/>
  <c r="AB27" i="1" s="1"/>
  <c r="U193" i="1"/>
  <c r="AA193" i="1" s="1"/>
  <c r="AB193" i="1" s="1"/>
  <c r="U89" i="1"/>
  <c r="AA89" i="1" s="1"/>
  <c r="AB89" i="1" s="1"/>
  <c r="U169" i="1"/>
  <c r="AA169" i="1" s="1"/>
  <c r="AB169" i="1" s="1"/>
  <c r="U32" i="1"/>
  <c r="AA32" i="1" s="1"/>
  <c r="AB32" i="1" s="1"/>
  <c r="U83" i="1"/>
  <c r="AA83" i="1" s="1"/>
  <c r="AB83" i="1" s="1"/>
  <c r="U143" i="1"/>
  <c r="AA143" i="1" s="1"/>
  <c r="AB143" i="1" s="1"/>
  <c r="U104" i="1"/>
  <c r="AA104" i="1" s="1"/>
  <c r="AB104" i="1" s="1"/>
  <c r="U61" i="1"/>
  <c r="AA61" i="1" s="1"/>
  <c r="AB61" i="1" s="1"/>
  <c r="U86" i="1"/>
  <c r="U195" i="1"/>
  <c r="AA195" i="1" s="1"/>
  <c r="AB195" i="1" s="1"/>
  <c r="U161" i="1"/>
  <c r="AA161" i="1" s="1"/>
  <c r="AB161" i="1" s="1"/>
  <c r="Y199" i="1"/>
  <c r="U132" i="1"/>
  <c r="AA132" i="1" s="1"/>
  <c r="AB132" i="1" s="1"/>
  <c r="U29" i="1"/>
  <c r="U163" i="1"/>
  <c r="AA163" i="1" s="1"/>
  <c r="AB163" i="1" s="1"/>
  <c r="Q14" i="6" l="1"/>
  <c r="D14" i="6" s="1"/>
  <c r="P6" i="6"/>
  <c r="Q6" i="6" s="1"/>
  <c r="D6" i="6" s="1"/>
  <c r="P35" i="6"/>
  <c r="AA11" i="2"/>
  <c r="AB11" i="2" s="1"/>
  <c r="N11" i="2" s="1"/>
  <c r="P11" i="2" s="1"/>
  <c r="Q11" i="2" s="1"/>
  <c r="D11" i="2" s="1"/>
  <c r="P6" i="5"/>
  <c r="D6" i="5" s="1"/>
  <c r="P6" i="3"/>
  <c r="Q6" i="3" s="1"/>
  <c r="D6" i="3" s="1"/>
  <c r="AA46" i="3"/>
  <c r="AB46" i="3" s="1"/>
  <c r="AA45" i="3"/>
  <c r="AB45" i="3" s="1"/>
  <c r="AA210" i="3"/>
  <c r="AB210" i="3" s="1"/>
  <c r="AA8" i="3"/>
  <c r="AB8" i="3" s="1"/>
  <c r="AA72" i="3"/>
  <c r="AB72" i="3" s="1"/>
  <c r="AA40" i="3"/>
  <c r="AB40" i="3" s="1"/>
  <c r="Z17" i="5"/>
  <c r="AA17" i="5" s="1"/>
  <c r="M17" i="5" s="1"/>
  <c r="Z35" i="5"/>
  <c r="AA35" i="5" s="1"/>
  <c r="M35" i="5" s="1"/>
  <c r="Z18" i="5"/>
  <c r="AA18" i="5" s="1"/>
  <c r="M18" i="5" s="1"/>
  <c r="Z28" i="5"/>
  <c r="AA28" i="5" s="1"/>
  <c r="M28" i="5" s="1"/>
  <c r="Z24" i="5"/>
  <c r="AA24" i="5" s="1"/>
  <c r="M24" i="5" s="1"/>
  <c r="AA6" i="2"/>
  <c r="AB6" i="2" s="1"/>
  <c r="N6" i="2" s="1"/>
  <c r="AA16" i="2"/>
  <c r="AB16" i="2" s="1"/>
  <c r="N16" i="2" s="1"/>
  <c r="AA9" i="2"/>
  <c r="AB9" i="2" s="1"/>
  <c r="N9" i="2" s="1"/>
  <c r="AA18" i="2"/>
  <c r="AB18" i="2" s="1"/>
  <c r="N18" i="2" s="1"/>
  <c r="U199" i="1"/>
  <c r="AA199" i="1" s="1"/>
  <c r="AB199" i="1" s="1"/>
  <c r="Y9" i="1"/>
  <c r="AA9" i="1" s="1"/>
  <c r="AB9" i="1" s="1"/>
  <c r="U133" i="1"/>
  <c r="AA133" i="1" s="1"/>
  <c r="AB133" i="1" s="1"/>
  <c r="Y25" i="1"/>
  <c r="AA25" i="1" s="1"/>
  <c r="AB25" i="1" s="1"/>
  <c r="U15" i="1"/>
  <c r="T8" i="5"/>
  <c r="T34" i="6"/>
  <c r="AA34" i="6" s="1"/>
  <c r="AB34" i="6" s="1"/>
  <c r="N34" i="6" s="1"/>
  <c r="T114" i="6"/>
  <c r="AA114" i="6" s="1"/>
  <c r="AB114" i="6" s="1"/>
  <c r="N114" i="6" s="1"/>
  <c r="T15" i="6"/>
  <c r="T52" i="6"/>
  <c r="AA52" i="6" s="1"/>
  <c r="AB52" i="6" s="1"/>
  <c r="N52" i="6" s="1"/>
  <c r="T69" i="3"/>
  <c r="T223" i="3"/>
  <c r="T111" i="3"/>
  <c r="T128" i="3"/>
  <c r="T180" i="3"/>
  <c r="T19" i="4"/>
  <c r="T18" i="4"/>
  <c r="T17" i="4"/>
  <c r="T57" i="3"/>
  <c r="T11" i="4"/>
  <c r="T120" i="3"/>
  <c r="T173" i="3"/>
  <c r="T215" i="3"/>
  <c r="T178" i="3"/>
  <c r="T90" i="3"/>
  <c r="T30" i="1"/>
  <c r="Y30" i="1"/>
  <c r="T17" i="1"/>
  <c r="AA17" i="1" s="1"/>
  <c r="AB17" i="1" s="1"/>
  <c r="T101" i="1"/>
  <c r="AA101" i="1" s="1"/>
  <c r="AB101" i="1" s="1"/>
  <c r="T157" i="1"/>
  <c r="AA157" i="1" s="1"/>
  <c r="AB157" i="1" s="1"/>
  <c r="T178" i="1"/>
  <c r="AA178" i="1" s="1"/>
  <c r="AB178" i="1" s="1"/>
  <c r="T59" i="1"/>
  <c r="AA59" i="1" s="1"/>
  <c r="AB59" i="1" s="1"/>
  <c r="Y12" i="6"/>
  <c r="AA12" i="6" s="1"/>
  <c r="AB12" i="6" s="1"/>
  <c r="N12" i="6" s="1"/>
  <c r="Y15" i="6"/>
  <c r="Y92" i="6"/>
  <c r="AA92" i="6" s="1"/>
  <c r="AB92" i="6" s="1"/>
  <c r="N92" i="6" s="1"/>
  <c r="Y19" i="4"/>
  <c r="Y18" i="3"/>
  <c r="Y91" i="3"/>
  <c r="T14" i="3"/>
  <c r="Y20" i="3"/>
  <c r="Y158" i="3"/>
  <c r="T17" i="3"/>
  <c r="Y52" i="3"/>
  <c r="Y16" i="3"/>
  <c r="Y53" i="3"/>
  <c r="Y92" i="3"/>
  <c r="T25" i="2"/>
  <c r="Y86" i="1"/>
  <c r="AA86" i="1" s="1"/>
  <c r="AB86" i="1" s="1"/>
  <c r="Y29" i="1"/>
  <c r="AA29" i="1" s="1"/>
  <c r="AB29" i="1" s="1"/>
  <c r="T14" i="2"/>
  <c r="Y14" i="2"/>
  <c r="Y12" i="2"/>
  <c r="Y16" i="1"/>
  <c r="AA16" i="1" s="1"/>
  <c r="AB16" i="1" s="1"/>
  <c r="Y20" i="1"/>
  <c r="AA20" i="1" s="1"/>
  <c r="AB20" i="1" s="1"/>
  <c r="S219" i="3"/>
  <c r="S207" i="3"/>
  <c r="Q35" i="6" l="1"/>
  <c r="D35" i="6" s="1"/>
  <c r="AA30" i="1"/>
  <c r="AB30" i="1" s="1"/>
  <c r="P12" i="6"/>
  <c r="P52" i="6"/>
  <c r="P34" i="6"/>
  <c r="P92" i="6"/>
  <c r="P114" i="6"/>
  <c r="P18" i="2"/>
  <c r="Q18" i="2" s="1"/>
  <c r="D18" i="2" s="1"/>
  <c r="P9" i="2"/>
  <c r="Q9" i="2" s="1"/>
  <c r="D9" i="2" s="1"/>
  <c r="P16" i="2"/>
  <c r="Q16" i="2" s="1"/>
  <c r="D16" i="2" s="1"/>
  <c r="P6" i="2"/>
  <c r="Q6" i="2" s="1"/>
  <c r="D6" i="2" s="1"/>
  <c r="O18" i="5"/>
  <c r="P18" i="5" s="1"/>
  <c r="D18" i="5" s="1"/>
  <c r="O24" i="5"/>
  <c r="P24" i="5" s="1"/>
  <c r="D24" i="5" s="1"/>
  <c r="O28" i="5"/>
  <c r="P28" i="5" s="1"/>
  <c r="D28" i="5" s="1"/>
  <c r="O35" i="5"/>
  <c r="P35" i="5" s="1"/>
  <c r="D35" i="5" s="1"/>
  <c r="O17" i="5"/>
  <c r="P17" i="5" s="1"/>
  <c r="D17" i="5" s="1"/>
  <c r="AA15" i="6"/>
  <c r="AB15" i="6" s="1"/>
  <c r="N15" i="6" s="1"/>
  <c r="AA11" i="4"/>
  <c r="AB11" i="4" s="1"/>
  <c r="N11" i="4" s="1"/>
  <c r="AA18" i="4"/>
  <c r="AB18" i="4" s="1"/>
  <c r="N18" i="4" s="1"/>
  <c r="AA19" i="4"/>
  <c r="AB19" i="4" s="1"/>
  <c r="AA17" i="4"/>
  <c r="AB17" i="4" s="1"/>
  <c r="N17" i="4" s="1"/>
  <c r="N40" i="3"/>
  <c r="P40" i="3" s="1"/>
  <c r="Q40" i="3" s="1"/>
  <c r="D40" i="3" s="1"/>
  <c r="N72" i="3"/>
  <c r="P72" i="3" s="1"/>
  <c r="Q72" i="3" s="1"/>
  <c r="D72" i="3" s="1"/>
  <c r="N8" i="3"/>
  <c r="P8" i="3" s="1"/>
  <c r="Q8" i="3" s="1"/>
  <c r="D8" i="3" s="1"/>
  <c r="N210" i="3"/>
  <c r="P210" i="3" s="1"/>
  <c r="Q210" i="3" s="1"/>
  <c r="D210" i="3" s="1"/>
  <c r="N45" i="3"/>
  <c r="P45" i="3" s="1"/>
  <c r="Q45" i="3" s="1"/>
  <c r="D45" i="3" s="1"/>
  <c r="N46" i="3"/>
  <c r="P46" i="3" s="1"/>
  <c r="Q46" i="3" s="1"/>
  <c r="D46" i="3" s="1"/>
  <c r="N27" i="1"/>
  <c r="P27" i="1" s="1"/>
  <c r="Q27" i="1" s="1"/>
  <c r="D27" i="1" s="1"/>
  <c r="N213" i="1"/>
  <c r="P213" i="1" s="1"/>
  <c r="Q213" i="1" s="1"/>
  <c r="D213" i="1" s="1"/>
  <c r="N193" i="1"/>
  <c r="P193" i="1" s="1"/>
  <c r="Q193" i="1" s="1"/>
  <c r="D193" i="1" s="1"/>
  <c r="N184" i="1"/>
  <c r="P184" i="1" s="1"/>
  <c r="Q184" i="1" s="1"/>
  <c r="D184" i="1" s="1"/>
  <c r="N202" i="1"/>
  <c r="P202" i="1" s="1"/>
  <c r="Q202" i="1" s="1"/>
  <c r="D202" i="1" s="1"/>
  <c r="N79" i="1"/>
  <c r="P79" i="1" s="1"/>
  <c r="Q79" i="1" s="1"/>
  <c r="D79" i="1" s="1"/>
  <c r="N61" i="1"/>
  <c r="P61" i="1" s="1"/>
  <c r="Q61" i="1" s="1"/>
  <c r="D61" i="1" s="1"/>
  <c r="N68" i="1"/>
  <c r="P68" i="1" s="1"/>
  <c r="Q68" i="1" s="1"/>
  <c r="D68" i="1" s="1"/>
  <c r="N158" i="1"/>
  <c r="P158" i="1" s="1"/>
  <c r="Q158" i="1" s="1"/>
  <c r="D158" i="1" s="1"/>
  <c r="N51" i="1"/>
  <c r="P51" i="1" s="1"/>
  <c r="Q51" i="1" s="1"/>
  <c r="D51" i="1" s="1"/>
  <c r="N83" i="1"/>
  <c r="P83" i="1" s="1"/>
  <c r="Q83" i="1" s="1"/>
  <c r="D83" i="1" s="1"/>
  <c r="N49" i="1"/>
  <c r="P49" i="1" s="1"/>
  <c r="Q49" i="1" s="1"/>
  <c r="D49" i="1" s="1"/>
  <c r="N205" i="1"/>
  <c r="P205" i="1" s="1"/>
  <c r="Q205" i="1" s="1"/>
  <c r="D205" i="1" s="1"/>
  <c r="N90" i="1"/>
  <c r="P90" i="1" s="1"/>
  <c r="Q90" i="1" s="1"/>
  <c r="D90" i="1" s="1"/>
  <c r="N104" i="1"/>
  <c r="P104" i="1" s="1"/>
  <c r="Q104" i="1" s="1"/>
  <c r="D104" i="1" s="1"/>
  <c r="N128" i="1"/>
  <c r="P128" i="1" s="1"/>
  <c r="Q128" i="1" s="1"/>
  <c r="D128" i="1" s="1"/>
  <c r="N64" i="1"/>
  <c r="P64" i="1" s="1"/>
  <c r="Q64" i="1" s="1"/>
  <c r="D64" i="1" s="1"/>
  <c r="N23" i="1"/>
  <c r="P23" i="1" s="1"/>
  <c r="Q23" i="1" s="1"/>
  <c r="D23" i="1" s="1"/>
  <c r="N110" i="1"/>
  <c r="P110" i="1" s="1"/>
  <c r="Q110" i="1" s="1"/>
  <c r="D110" i="1" s="1"/>
  <c r="N143" i="1"/>
  <c r="P143" i="1" s="1"/>
  <c r="Q143" i="1" s="1"/>
  <c r="D143" i="1" s="1"/>
  <c r="N137" i="1"/>
  <c r="P137" i="1" s="1"/>
  <c r="Q137" i="1" s="1"/>
  <c r="D137" i="1" s="1"/>
  <c r="N197" i="1"/>
  <c r="P197" i="1" s="1"/>
  <c r="Q197" i="1" s="1"/>
  <c r="D197" i="1" s="1"/>
  <c r="N169" i="1"/>
  <c r="P169" i="1" s="1"/>
  <c r="Q169" i="1" s="1"/>
  <c r="D169" i="1" s="1"/>
  <c r="N163" i="1"/>
  <c r="P163" i="1" s="1"/>
  <c r="Q163" i="1" s="1"/>
  <c r="D163" i="1" s="1"/>
  <c r="N89" i="1"/>
  <c r="P89" i="1" s="1"/>
  <c r="Q89" i="1" s="1"/>
  <c r="D89" i="1" s="1"/>
  <c r="N132" i="1"/>
  <c r="P132" i="1" s="1"/>
  <c r="Q132" i="1" s="1"/>
  <c r="D132" i="1" s="1"/>
  <c r="N81" i="1"/>
  <c r="P81" i="1" s="1"/>
  <c r="Q81" i="1" s="1"/>
  <c r="D81" i="1" s="1"/>
  <c r="N32" i="1"/>
  <c r="P32" i="1" s="1"/>
  <c r="Q32" i="1" s="1"/>
  <c r="D32" i="1" s="1"/>
  <c r="N109" i="1"/>
  <c r="P109" i="1" s="1"/>
  <c r="Q109" i="1" s="1"/>
  <c r="D109" i="1" s="1"/>
  <c r="N161" i="1"/>
  <c r="P161" i="1" s="1"/>
  <c r="Q161" i="1" s="1"/>
  <c r="D161" i="1" s="1"/>
  <c r="N195" i="1"/>
  <c r="P195" i="1" s="1"/>
  <c r="Q195" i="1" s="1"/>
  <c r="D195" i="1" s="1"/>
  <c r="AA18" i="3"/>
  <c r="AB18" i="3" s="1"/>
  <c r="AA215" i="3"/>
  <c r="AB215" i="3" s="1"/>
  <c r="AA111" i="3"/>
  <c r="AB111" i="3" s="1"/>
  <c r="AA173" i="3"/>
  <c r="AB173" i="3" s="1"/>
  <c r="AA223" i="3"/>
  <c r="AB223" i="3" s="1"/>
  <c r="AA180" i="3"/>
  <c r="AB180" i="3" s="1"/>
  <c r="AA128" i="3"/>
  <c r="AB128" i="3" s="1"/>
  <c r="AA178" i="3"/>
  <c r="AB178" i="3" s="1"/>
  <c r="AA69" i="3"/>
  <c r="AB69" i="3" s="1"/>
  <c r="AA57" i="3"/>
  <c r="AB57" i="3" s="1"/>
  <c r="AA158" i="3"/>
  <c r="AB158" i="3" s="1"/>
  <c r="AA20" i="3"/>
  <c r="AB20" i="3" s="1"/>
  <c r="AA90" i="3"/>
  <c r="AB90" i="3" s="1"/>
  <c r="AA92" i="3"/>
  <c r="AB92" i="3" s="1"/>
  <c r="AA53" i="3"/>
  <c r="AB53" i="3" s="1"/>
  <c r="AA91" i="3"/>
  <c r="AB91" i="3" s="1"/>
  <c r="AA120" i="3"/>
  <c r="AB120" i="3" s="1"/>
  <c r="AA207" i="3"/>
  <c r="AB207" i="3" s="1"/>
  <c r="AA219" i="3"/>
  <c r="AB219" i="3" s="1"/>
  <c r="AA16" i="3"/>
  <c r="AB16" i="3" s="1"/>
  <c r="AA52" i="3"/>
  <c r="AB52" i="3" s="1"/>
  <c r="Z8" i="5"/>
  <c r="AA8" i="5" s="1"/>
  <c r="M8" i="5" s="1"/>
  <c r="AA12" i="2"/>
  <c r="AB12" i="2" s="1"/>
  <c r="N12" i="2" s="1"/>
  <c r="S136" i="3"/>
  <c r="S256" i="3"/>
  <c r="S10" i="6"/>
  <c r="AA10" i="6" s="1"/>
  <c r="AB10" i="6" s="1"/>
  <c r="N10" i="6" s="1"/>
  <c r="S20" i="4"/>
  <c r="S211" i="3"/>
  <c r="S17" i="3"/>
  <c r="S14" i="3"/>
  <c r="S195" i="3"/>
  <c r="S94" i="3"/>
  <c r="Y25" i="2"/>
  <c r="S25" i="2"/>
  <c r="S14" i="2"/>
  <c r="S19" i="2"/>
  <c r="S13" i="2"/>
  <c r="S15" i="1"/>
  <c r="AA15" i="1" s="1"/>
  <c r="AB15" i="1" s="1"/>
  <c r="S98" i="1"/>
  <c r="AA98" i="1" s="1"/>
  <c r="AB98" i="1" s="1"/>
  <c r="R32" i="5"/>
  <c r="Q114" i="6" l="1"/>
  <c r="D114" i="6" s="1"/>
  <c r="Q12" i="6"/>
  <c r="D12" i="6" s="1"/>
  <c r="Q52" i="6"/>
  <c r="D52" i="6" s="1"/>
  <c r="Q92" i="6"/>
  <c r="D92" i="6" s="1"/>
  <c r="Q34" i="6"/>
  <c r="D34" i="6" s="1"/>
  <c r="P15" i="6"/>
  <c r="P10" i="6"/>
  <c r="P11" i="4"/>
  <c r="Q11" i="4" s="1"/>
  <c r="D11" i="4" s="1"/>
  <c r="P17" i="4"/>
  <c r="Q17" i="4" s="1"/>
  <c r="D17" i="4" s="1"/>
  <c r="P18" i="4"/>
  <c r="Q18" i="4" s="1"/>
  <c r="D18" i="4" s="1"/>
  <c r="P12" i="2"/>
  <c r="Q12" i="2" s="1"/>
  <c r="D12" i="2" s="1"/>
  <c r="O8" i="5"/>
  <c r="P8" i="5" s="1"/>
  <c r="D8" i="5" s="1"/>
  <c r="N19" i="4"/>
  <c r="AA20" i="4"/>
  <c r="AB20" i="4" s="1"/>
  <c r="N92" i="3"/>
  <c r="P92" i="3" s="1"/>
  <c r="Q92" i="3" s="1"/>
  <c r="D92" i="3" s="1"/>
  <c r="N90" i="3"/>
  <c r="P90" i="3" s="1"/>
  <c r="Q90" i="3" s="1"/>
  <c r="D90" i="3" s="1"/>
  <c r="N20" i="3"/>
  <c r="P20" i="3" s="1"/>
  <c r="Q20" i="3" s="1"/>
  <c r="D20" i="3" s="1"/>
  <c r="N158" i="3"/>
  <c r="P158" i="3" s="1"/>
  <c r="Q158" i="3" s="1"/>
  <c r="D158" i="3" s="1"/>
  <c r="N111" i="3"/>
  <c r="P111" i="3" s="1"/>
  <c r="Q111" i="3" s="1"/>
  <c r="D111" i="3" s="1"/>
  <c r="N173" i="3"/>
  <c r="P173" i="3" s="1"/>
  <c r="Q173" i="3" s="1"/>
  <c r="D173" i="3" s="1"/>
  <c r="N52" i="3"/>
  <c r="P52" i="3" s="1"/>
  <c r="Q52" i="3" s="1"/>
  <c r="D52" i="3" s="1"/>
  <c r="N215" i="3"/>
  <c r="P215" i="3" s="1"/>
  <c r="Q215" i="3" s="1"/>
  <c r="D215" i="3" s="1"/>
  <c r="N53" i="3"/>
  <c r="P53" i="3" s="1"/>
  <c r="Q53" i="3" s="1"/>
  <c r="D53" i="3" s="1"/>
  <c r="N57" i="3"/>
  <c r="P57" i="3" s="1"/>
  <c r="Q57" i="3" s="1"/>
  <c r="D57" i="3" s="1"/>
  <c r="N120" i="3"/>
  <c r="P120" i="3" s="1"/>
  <c r="Q120" i="3" s="1"/>
  <c r="D120" i="3" s="1"/>
  <c r="N178" i="3"/>
  <c r="P178" i="3" s="1"/>
  <c r="Q178" i="3" s="1"/>
  <c r="D178" i="3" s="1"/>
  <c r="N207" i="3"/>
  <c r="P207" i="3" s="1"/>
  <c r="Q207" i="3" s="1"/>
  <c r="D207" i="3" s="1"/>
  <c r="N128" i="3"/>
  <c r="P128" i="3" s="1"/>
  <c r="Q128" i="3" s="1"/>
  <c r="D128" i="3" s="1"/>
  <c r="N16" i="3"/>
  <c r="P16" i="3" s="1"/>
  <c r="Q16" i="3" s="1"/>
  <c r="D16" i="3" s="1"/>
  <c r="N91" i="3"/>
  <c r="P91" i="3" s="1"/>
  <c r="Q91" i="3" s="1"/>
  <c r="D91" i="3" s="1"/>
  <c r="N180" i="3"/>
  <c r="P180" i="3" s="1"/>
  <c r="Q180" i="3" s="1"/>
  <c r="D180" i="3" s="1"/>
  <c r="N219" i="3"/>
  <c r="P219" i="3" s="1"/>
  <c r="Q219" i="3" s="1"/>
  <c r="D219" i="3" s="1"/>
  <c r="N69" i="3"/>
  <c r="P69" i="3" s="1"/>
  <c r="Q69" i="3" s="1"/>
  <c r="D69" i="3" s="1"/>
  <c r="N18" i="3"/>
  <c r="P18" i="3" s="1"/>
  <c r="Q18" i="3" s="1"/>
  <c r="D18" i="3" s="1"/>
  <c r="N223" i="3"/>
  <c r="P223" i="3" s="1"/>
  <c r="Q223" i="3" s="1"/>
  <c r="D223" i="3" s="1"/>
  <c r="N199" i="1"/>
  <c r="P199" i="1" s="1"/>
  <c r="Q199" i="1" s="1"/>
  <c r="D199" i="1" s="1"/>
  <c r="N133" i="1"/>
  <c r="P133" i="1" s="1"/>
  <c r="Q133" i="1" s="1"/>
  <c r="D133" i="1" s="1"/>
  <c r="N9" i="1"/>
  <c r="P9" i="1" s="1"/>
  <c r="Q9" i="1" s="1"/>
  <c r="D9" i="1" s="1"/>
  <c r="N157" i="1"/>
  <c r="P157" i="1" s="1"/>
  <c r="Q157" i="1" s="1"/>
  <c r="D157" i="1" s="1"/>
  <c r="N30" i="1"/>
  <c r="P30" i="1" s="1"/>
  <c r="Q30" i="1" s="1"/>
  <c r="D30" i="1" s="1"/>
  <c r="N20" i="1"/>
  <c r="P20" i="1" s="1"/>
  <c r="Q20" i="1" s="1"/>
  <c r="D20" i="1" s="1"/>
  <c r="N17" i="1"/>
  <c r="P17" i="1" s="1"/>
  <c r="Q17" i="1" s="1"/>
  <c r="D17" i="1" s="1"/>
  <c r="N59" i="1"/>
  <c r="P59" i="1" s="1"/>
  <c r="Q59" i="1" s="1"/>
  <c r="D59" i="1" s="1"/>
  <c r="N101" i="1"/>
  <c r="P101" i="1" s="1"/>
  <c r="Q101" i="1" s="1"/>
  <c r="D101" i="1" s="1"/>
  <c r="N86" i="1"/>
  <c r="P86" i="1" s="1"/>
  <c r="Q86" i="1" s="1"/>
  <c r="D86" i="1" s="1"/>
  <c r="N178" i="1"/>
  <c r="P178" i="1" s="1"/>
  <c r="Q178" i="1" s="1"/>
  <c r="D178" i="1" s="1"/>
  <c r="N25" i="1"/>
  <c r="P25" i="1" s="1"/>
  <c r="Q25" i="1" s="1"/>
  <c r="D25" i="1" s="1"/>
  <c r="N29" i="1"/>
  <c r="P29" i="1" s="1"/>
  <c r="Q29" i="1" s="1"/>
  <c r="D29" i="1" s="1"/>
  <c r="N16" i="1"/>
  <c r="P16" i="1" s="1"/>
  <c r="Q16" i="1" s="1"/>
  <c r="D16" i="1" s="1"/>
  <c r="AA94" i="3"/>
  <c r="AB94" i="3" s="1"/>
  <c r="AA195" i="3"/>
  <c r="AB195" i="3" s="1"/>
  <c r="AA14" i="3"/>
  <c r="AB14" i="3" s="1"/>
  <c r="AA211" i="3"/>
  <c r="AB211" i="3" s="1"/>
  <c r="AA17" i="3"/>
  <c r="AB17" i="3" s="1"/>
  <c r="AA256" i="3"/>
  <c r="AB256" i="3" s="1"/>
  <c r="AA136" i="3"/>
  <c r="AB136" i="3" s="1"/>
  <c r="Z32" i="5"/>
  <c r="AA32" i="5" s="1"/>
  <c r="M32" i="5" s="1"/>
  <c r="AA13" i="2"/>
  <c r="AB13" i="2" s="1"/>
  <c r="N13" i="2" s="1"/>
  <c r="AA19" i="2"/>
  <c r="AB19" i="2" s="1"/>
  <c r="N19" i="2" s="1"/>
  <c r="AA14" i="2"/>
  <c r="AB14" i="2" s="1"/>
  <c r="N14" i="2" s="1"/>
  <c r="AA25" i="2"/>
  <c r="AB25" i="2" s="1"/>
  <c r="N25" i="2" s="1"/>
  <c r="Q10" i="6" l="1"/>
  <c r="D10" i="6" s="1"/>
  <c r="Q15" i="6"/>
  <c r="D15" i="6" s="1"/>
  <c r="P19" i="4"/>
  <c r="Q19" i="4" s="1"/>
  <c r="D19" i="4" s="1"/>
  <c r="P14" i="2"/>
  <c r="Q14" i="2" s="1"/>
  <c r="D14" i="2" s="1"/>
  <c r="P13" i="2"/>
  <c r="Q13" i="2" s="1"/>
  <c r="D13" i="2" s="1"/>
  <c r="P25" i="2"/>
  <c r="Q25" i="2" s="1"/>
  <c r="D25" i="2" s="1"/>
  <c r="P19" i="2"/>
  <c r="Q19" i="2" s="1"/>
  <c r="D19" i="2" s="1"/>
  <c r="O32" i="5"/>
  <c r="P32" i="5" s="1"/>
  <c r="D32" i="5" s="1"/>
  <c r="N20" i="4"/>
  <c r="N256" i="3"/>
  <c r="P256" i="3" s="1"/>
  <c r="Q256" i="3" s="1"/>
  <c r="D256" i="3" s="1"/>
  <c r="N136" i="3"/>
  <c r="P136" i="3" s="1"/>
  <c r="Q136" i="3" s="1"/>
  <c r="D136" i="3" s="1"/>
  <c r="N211" i="3"/>
  <c r="P211" i="3" s="1"/>
  <c r="Q211" i="3" s="1"/>
  <c r="D211" i="3" s="1"/>
  <c r="N17" i="3"/>
  <c r="P17" i="3" s="1"/>
  <c r="Q17" i="3" s="1"/>
  <c r="D17" i="3" s="1"/>
  <c r="N94" i="3"/>
  <c r="P94" i="3" s="1"/>
  <c r="Q94" i="3" s="1"/>
  <c r="D94" i="3" s="1"/>
  <c r="N14" i="3"/>
  <c r="P14" i="3" s="1"/>
  <c r="Q14" i="3" s="1"/>
  <c r="D14" i="3" s="1"/>
  <c r="N195" i="3"/>
  <c r="P195" i="3" s="1"/>
  <c r="Q195" i="3" s="1"/>
  <c r="D195" i="3" s="1"/>
  <c r="N98" i="1"/>
  <c r="P98" i="1" s="1"/>
  <c r="Q98" i="1" s="1"/>
  <c r="D98" i="1" s="1"/>
  <c r="N15" i="1"/>
  <c r="P15" i="1" s="1"/>
  <c r="Q15" i="1" s="1"/>
  <c r="D15" i="1" s="1"/>
  <c r="AA11" i="8"/>
  <c r="AB11" i="8" s="1"/>
  <c r="N11" i="8" s="1"/>
  <c r="P11" i="8" l="1"/>
  <c r="Q11" i="8" s="1"/>
  <c r="P20" i="4"/>
  <c r="Q20" i="4" s="1"/>
  <c r="D20" i="4" s="1"/>
</calcChain>
</file>

<file path=xl/sharedStrings.xml><?xml version="1.0" encoding="utf-8"?>
<sst xmlns="http://schemas.openxmlformats.org/spreadsheetml/2006/main" count="1948" uniqueCount="935">
  <si>
    <t>Born 2 Dance</t>
  </si>
  <si>
    <t>Uzvārds, Vārds</t>
  </si>
  <si>
    <t>Deju studija</t>
  </si>
  <si>
    <t>Dz. gads</t>
  </si>
  <si>
    <t>Ziema</t>
  </si>
  <si>
    <t>Nedalāmie punkti</t>
  </si>
  <si>
    <t>Night&amp;Day</t>
  </si>
  <si>
    <t>Kaprīze</t>
  </si>
  <si>
    <t>Backstage</t>
  </si>
  <si>
    <t>Legzdiņa Dana</t>
  </si>
  <si>
    <t>Children female</t>
  </si>
  <si>
    <t>Juniors Female</t>
  </si>
  <si>
    <t>Adults Female</t>
  </si>
  <si>
    <t>1. līga</t>
  </si>
  <si>
    <t>2. līga</t>
  </si>
  <si>
    <t>Iesācēji</t>
  </si>
  <si>
    <t>Ļevdanskis Nikita</t>
  </si>
  <si>
    <t>Pluce Paula</t>
  </si>
  <si>
    <t>Skodorova Valērija</t>
  </si>
  <si>
    <t>Dzelzīte Marta</t>
  </si>
  <si>
    <t>Zabarovska Linda</t>
  </si>
  <si>
    <t>Skuja Anna Katrīna</t>
  </si>
  <si>
    <t>Grohovska Kristīne</t>
  </si>
  <si>
    <t>Deju studija DEMO</t>
  </si>
  <si>
    <t>Kraukle Evelīna</t>
  </si>
  <si>
    <t>Gutreia Aleksandra</t>
  </si>
  <si>
    <t>Īstenā Jasmīne</t>
  </si>
  <si>
    <t>Barānovs Aleksandrs</t>
  </si>
  <si>
    <t>Geidāns Dominiks</t>
  </si>
  <si>
    <t>Fjodorovs Dāniels</t>
  </si>
  <si>
    <t>Stankus Veronika</t>
  </si>
  <si>
    <t xml:space="preserve">    Adults Male</t>
  </si>
  <si>
    <t>Kuļiša Adelīna</t>
  </si>
  <si>
    <t>Tropa Patricija</t>
  </si>
  <si>
    <t>Punkti uz 2022 g. sākumu</t>
  </si>
  <si>
    <t>Mini Kids</t>
  </si>
  <si>
    <t>Night&amp;Day Studio</t>
  </si>
  <si>
    <t>2.līga</t>
  </si>
  <si>
    <t>Jeļisejeva Keita</t>
  </si>
  <si>
    <t>Veinberga Ulrika</t>
  </si>
  <si>
    <t>LBJC Tabernacle Dance Studio</t>
  </si>
  <si>
    <t>BACKSTAGE ART CENTER</t>
  </si>
  <si>
    <t xml:space="preserve">Laipnieca Andžela </t>
  </si>
  <si>
    <t xml:space="preserve">Aleksandrova Emīlija </t>
  </si>
  <si>
    <t xml:space="preserve">Grohovska Miroslava </t>
  </si>
  <si>
    <t xml:space="preserve">Čerpinska Nikola </t>
  </si>
  <si>
    <t xml:space="preserve">Ničaja Sondra </t>
  </si>
  <si>
    <t>Grohovska Zlata</t>
  </si>
  <si>
    <t>Lazdiņa Emīlija</t>
  </si>
  <si>
    <t>Rava Leila Marta</t>
  </si>
  <si>
    <t>Savicka Kerija Anete</t>
  </si>
  <si>
    <t>Pūkaine Loreta</t>
  </si>
  <si>
    <t>Demo</t>
  </si>
  <si>
    <t>Survillo Justīne</t>
  </si>
  <si>
    <t>Žieda Evelīna</t>
  </si>
  <si>
    <t>Rutkovska Vanesa</t>
  </si>
  <si>
    <t xml:space="preserve">Skudra Sabīne </t>
  </si>
  <si>
    <t xml:space="preserve">Tereščenko Aļesja </t>
  </si>
  <si>
    <t xml:space="preserve">Jansone Sāra </t>
  </si>
  <si>
    <t>Pudāns Mikus</t>
  </si>
  <si>
    <t>Juniors Male</t>
  </si>
  <si>
    <t>Children Male</t>
  </si>
  <si>
    <t>Daugavpils Open</t>
  </si>
  <si>
    <t>BACKSTAGE Art Center</t>
  </si>
  <si>
    <t>STOPTIME</t>
  </si>
  <si>
    <t>Usačova Adriana</t>
  </si>
  <si>
    <t xml:space="preserve">Mīļa Ariana </t>
  </si>
  <si>
    <t xml:space="preserve">Urbanoviča Darja </t>
  </si>
  <si>
    <t xml:space="preserve">Baikova Elizavete </t>
  </si>
  <si>
    <t xml:space="preserve">Naruševiča Evelīna </t>
  </si>
  <si>
    <t xml:space="preserve">Jakubāne Ieva </t>
  </si>
  <si>
    <t xml:space="preserve">Sabule Keita </t>
  </si>
  <si>
    <t xml:space="preserve">Vasiļjeva Ksenija </t>
  </si>
  <si>
    <t xml:space="preserve">Spiridonovs Leons </t>
  </si>
  <si>
    <t xml:space="preserve">Kļava Marta Adriāna </t>
  </si>
  <si>
    <t xml:space="preserve">Servute Mija </t>
  </si>
  <si>
    <t xml:space="preserve">Karbutoviča Nellija </t>
  </si>
  <si>
    <t xml:space="preserve">Sporihins Nikas </t>
  </si>
  <si>
    <t xml:space="preserve">Rozenbilde Odrija </t>
  </si>
  <si>
    <t xml:space="preserve">Portnaja Oksana </t>
  </si>
  <si>
    <t xml:space="preserve">Rudzīte Rebeka </t>
  </si>
  <si>
    <t xml:space="preserve">Zelčs Roberts </t>
  </si>
  <si>
    <t xml:space="preserve">Tauriņš Rodrigo </t>
  </si>
  <si>
    <t>Grīnfelde Samanta</t>
  </si>
  <si>
    <t xml:space="preserve">Freiberga Zane </t>
  </si>
  <si>
    <t>Makarenkova-Janaite Aleksandra</t>
  </si>
  <si>
    <t>STOPTIME Rēzekne</t>
  </si>
  <si>
    <t>Veizāna deju skola</t>
  </si>
  <si>
    <t>Dance Beat</t>
  </si>
  <si>
    <t xml:space="preserve">Tihonoviča Maija </t>
  </si>
  <si>
    <t xml:space="preserve">Rumjanceva Alisa </t>
  </si>
  <si>
    <t xml:space="preserve">Novikova Ariana </t>
  </si>
  <si>
    <t>Jasinska Adrianna</t>
  </si>
  <si>
    <t xml:space="preserve">Pokšāne Daniela </t>
  </si>
  <si>
    <t xml:space="preserve">Melberga Žaklīna </t>
  </si>
  <si>
    <t xml:space="preserve">Stole Sofija </t>
  </si>
  <si>
    <t>Mitkeviča Annija</t>
  </si>
  <si>
    <t xml:space="preserve">Zariņa Elīza </t>
  </si>
  <si>
    <t xml:space="preserve">Murāne Gabriela </t>
  </si>
  <si>
    <t xml:space="preserve">Mennika Madara </t>
  </si>
  <si>
    <t xml:space="preserve">Vjakse Santa Marija </t>
  </si>
  <si>
    <t xml:space="preserve">Pušmūcans Emils </t>
  </si>
  <si>
    <t xml:space="preserve">Lakomko Daniela </t>
  </si>
  <si>
    <t xml:space="preserve">Anufrieva Agata </t>
  </si>
  <si>
    <t xml:space="preserve">Užule Loreta </t>
  </si>
  <si>
    <t xml:space="preserve">Šatrovs Artjoms </t>
  </si>
  <si>
    <t xml:space="preserve">Lukša Emils </t>
  </si>
  <si>
    <t xml:space="preserve">Davidovskis Oskars </t>
  </si>
  <si>
    <t xml:space="preserve">Gailišs Edgars </t>
  </si>
  <si>
    <t xml:space="preserve">Stirniņš Justs </t>
  </si>
  <si>
    <t xml:space="preserve">Uksliņš Rodrigo </t>
  </si>
  <si>
    <t xml:space="preserve">Rutko Rūdolfs </t>
  </si>
  <si>
    <t>Studio Let's dance</t>
  </si>
  <si>
    <t xml:space="preserve">Vatčenko Jeļizaveta </t>
  </si>
  <si>
    <t xml:space="preserve">Griķe Marta Marija </t>
  </si>
  <si>
    <t xml:space="preserve">Akopova Katrīna </t>
  </si>
  <si>
    <t xml:space="preserve">Zīmele Madara </t>
  </si>
  <si>
    <t xml:space="preserve">Korpenko Valerija </t>
  </si>
  <si>
    <t xml:space="preserve">Bērziņa Lote Laura </t>
  </si>
  <si>
    <t xml:space="preserve">Raka Patricija </t>
  </si>
  <si>
    <t xml:space="preserve">Ozoliņa Šarlote </t>
  </si>
  <si>
    <t xml:space="preserve">Kalniņa Klaudija </t>
  </si>
  <si>
    <t xml:space="preserve">Burenkova Viktorija </t>
  </si>
  <si>
    <t xml:space="preserve">Belindževa Kristena </t>
  </si>
  <si>
    <t xml:space="preserve">Kolomijeca Ilona </t>
  </si>
  <si>
    <t>Cvetkova Darja</t>
  </si>
  <si>
    <t xml:space="preserve">Siliniece Madara Dārta </t>
  </si>
  <si>
    <t xml:space="preserve">Frīdriha Vikrotija </t>
  </si>
  <si>
    <t xml:space="preserve">Dobrovoļska Anna- Marija </t>
  </si>
  <si>
    <t>Berga Paula</t>
  </si>
  <si>
    <t xml:space="preserve">Semjonova Marjana </t>
  </si>
  <si>
    <t xml:space="preserve">Verņicka Sofija </t>
  </si>
  <si>
    <t xml:space="preserve">Baļeva Viktorija </t>
  </si>
  <si>
    <t xml:space="preserve">Čornaja Anna </t>
  </si>
  <si>
    <t xml:space="preserve">Logina Estere </t>
  </si>
  <si>
    <t xml:space="preserve">Utkina Evelīna </t>
  </si>
  <si>
    <t xml:space="preserve">Cirmane Ieva </t>
  </si>
  <si>
    <t xml:space="preserve">Stahovskis Ilja </t>
  </si>
  <si>
    <t xml:space="preserve">Trofimova Jekaterina </t>
  </si>
  <si>
    <t xml:space="preserve">Lukša Nikola </t>
  </si>
  <si>
    <t xml:space="preserve">Gavriļenkova Alise </t>
  </si>
  <si>
    <t xml:space="preserve">Tjuļeneva Alise </t>
  </si>
  <si>
    <t xml:space="preserve">Rosovska Amālija </t>
  </si>
  <si>
    <t xml:space="preserve">Lindenova Milana </t>
  </si>
  <si>
    <t xml:space="preserve">Jakuševska Mišele </t>
  </si>
  <si>
    <t xml:space="preserve">Križanovska Selīna </t>
  </si>
  <si>
    <t xml:space="preserve">Kolosova Sofija </t>
  </si>
  <si>
    <t xml:space="preserve">Ilgina Arīna </t>
  </si>
  <si>
    <t>Zemzare Nikola</t>
  </si>
  <si>
    <t xml:space="preserve">Auziņa Amanda </t>
  </si>
  <si>
    <t xml:space="preserve">Misiņa Anna </t>
  </si>
  <si>
    <t xml:space="preserve">Umbraško Anna </t>
  </si>
  <si>
    <t xml:space="preserve">Podjava Bernadetta </t>
  </si>
  <si>
    <t xml:space="preserve">Vasjanova Darina </t>
  </si>
  <si>
    <t xml:space="preserve">Meirāne Diāna </t>
  </si>
  <si>
    <t>Mikena Elīza Daniela</t>
  </si>
  <si>
    <t xml:space="preserve">Vasiļjeva Everita </t>
  </si>
  <si>
    <t xml:space="preserve">Rēiha Greta </t>
  </si>
  <si>
    <t xml:space="preserve">Putniņa Ieva </t>
  </si>
  <si>
    <t xml:space="preserve">Mihailova Jana </t>
  </si>
  <si>
    <t xml:space="preserve">Kozlovska Jaroslava </t>
  </si>
  <si>
    <t xml:space="preserve">Kuzņecova Karolina </t>
  </si>
  <si>
    <t xml:space="preserve">Kočubeja Kristiāna </t>
  </si>
  <si>
    <t>Vilmane Laura</t>
  </si>
  <si>
    <t xml:space="preserve">Montvide Liāna </t>
  </si>
  <si>
    <t xml:space="preserve">Marčenko Marija </t>
  </si>
  <si>
    <t xml:space="preserve">Govjadina Poļina </t>
  </si>
  <si>
    <t xml:space="preserve">Mihailova Sofija </t>
  </si>
  <si>
    <t>Tarasova Veronika</t>
  </si>
  <si>
    <t xml:space="preserve">Tereņina Veronika </t>
  </si>
  <si>
    <t xml:space="preserve">Kozlenkova Yevheniia </t>
  </si>
  <si>
    <t xml:space="preserve">Borisjuka Valērija </t>
  </si>
  <si>
    <t xml:space="preserve">Paluhina Sofija </t>
  </si>
  <si>
    <t xml:space="preserve">Laminska Diāna </t>
  </si>
  <si>
    <t xml:space="preserve">Popkova Arianna </t>
  </si>
  <si>
    <t>Bordāne Nellija</t>
  </si>
  <si>
    <t xml:space="preserve">Ozola Sigita </t>
  </si>
  <si>
    <t xml:space="preserve">Melne Sintija </t>
  </si>
  <si>
    <t xml:space="preserve">Kaupere Dita Kate </t>
  </si>
  <si>
    <t xml:space="preserve">Grīnberga Rūta </t>
  </si>
  <si>
    <t>Tukāne Sabīna</t>
  </si>
  <si>
    <t xml:space="preserve">Soboleva Viktorija </t>
  </si>
  <si>
    <t xml:space="preserve">Sproģe Terēze </t>
  </si>
  <si>
    <t xml:space="preserve">Gutoroviča Valērija </t>
  </si>
  <si>
    <t xml:space="preserve">Jasiūna Zane </t>
  </si>
  <si>
    <t xml:space="preserve">Drauga Tīna </t>
  </si>
  <si>
    <t>Vinokurova Anželika</t>
  </si>
  <si>
    <t xml:space="preserve">Nitiša Jana </t>
  </si>
  <si>
    <t xml:space="preserve">Veinberga Loreta </t>
  </si>
  <si>
    <t xml:space="preserve">Čerņcova Milana </t>
  </si>
  <si>
    <t xml:space="preserve">Daukšte Bekija Anete </t>
  </si>
  <si>
    <t xml:space="preserve">Stauro Agnese </t>
  </si>
  <si>
    <t>Kalniņa Alise</t>
  </si>
  <si>
    <t xml:space="preserve">Kostrodimova Kamila </t>
  </si>
  <si>
    <t xml:space="preserve">Muižniece Katrīna </t>
  </si>
  <si>
    <t xml:space="preserve">Pavarda Brenda </t>
  </si>
  <si>
    <t xml:space="preserve">Cimiņa Anna </t>
  </si>
  <si>
    <t xml:space="preserve">Ābele Elīza </t>
  </si>
  <si>
    <t xml:space="preserve">Gulbe Kitija </t>
  </si>
  <si>
    <t xml:space="preserve">Vikmane Lote </t>
  </si>
  <si>
    <t xml:space="preserve">Žilinska Luīze </t>
  </si>
  <si>
    <t xml:space="preserve">Moreva Valērija </t>
  </si>
  <si>
    <t xml:space="preserve">Klišāne Marija </t>
  </si>
  <si>
    <t xml:space="preserve">Federeks Leo </t>
  </si>
  <si>
    <t xml:space="preserve">Ozoliņš Olivers </t>
  </si>
  <si>
    <t xml:space="preserve">Miķelāns Tomass </t>
  </si>
  <si>
    <t xml:space="preserve">Mitrevics Valters </t>
  </si>
  <si>
    <t>Kavaļeristovs Krišjānis</t>
  </si>
  <si>
    <t xml:space="preserve">Vecvērdiņš Deivs </t>
  </si>
  <si>
    <t xml:space="preserve">Jukšs Daniils </t>
  </si>
  <si>
    <t xml:space="preserve">Rakute Jekaterina </t>
  </si>
  <si>
    <t xml:space="preserve">Dubrovska Anna </t>
  </si>
  <si>
    <t xml:space="preserve">Dance Ketija Katerina </t>
  </si>
  <si>
    <t xml:space="preserve">Šulca Elīza </t>
  </si>
  <si>
    <t xml:space="preserve">Kiku Valērija </t>
  </si>
  <si>
    <t xml:space="preserve">Bērziņa Madara </t>
  </si>
  <si>
    <t xml:space="preserve">Veinberga Sintija </t>
  </si>
  <si>
    <t xml:space="preserve">Hēla Keita </t>
  </si>
  <si>
    <t xml:space="preserve">Semjonova Veronika </t>
  </si>
  <si>
    <t xml:space="preserve">Vickopa Elīna </t>
  </si>
  <si>
    <t xml:space="preserve">Braumane Linda </t>
  </si>
  <si>
    <t xml:space="preserve">Sitko Nikola </t>
  </si>
  <si>
    <t xml:space="preserve">Gruzdiņa Rēzija </t>
  </si>
  <si>
    <t xml:space="preserve">Matvejeva Violeta </t>
  </si>
  <si>
    <t xml:space="preserve">Jēkabsons  Jeremijs </t>
  </si>
  <si>
    <t xml:space="preserve">Lapinsks Feliks </t>
  </si>
  <si>
    <t>Zvirgzdiņa Melisa</t>
  </si>
  <si>
    <t>Brizga Enija</t>
  </si>
  <si>
    <t>Soldatenoka Milāna</t>
  </si>
  <si>
    <t>Pavasaris</t>
  </si>
  <si>
    <t xml:space="preserve">Baranovska Viktorija </t>
  </si>
  <si>
    <t>Briede Amēlija</t>
  </si>
  <si>
    <t>Xeny Dance Studio</t>
  </si>
  <si>
    <t>Baza Dance Company</t>
  </si>
  <si>
    <t xml:space="preserve">Girgina Ganriela </t>
  </si>
  <si>
    <t>Striško Valērija</t>
  </si>
  <si>
    <t xml:space="preserve">Martyniuk Emiliia </t>
  </si>
  <si>
    <t>Burča Poļina</t>
  </si>
  <si>
    <t xml:space="preserve">Viļčevska Vlada </t>
  </si>
  <si>
    <t>Bredihina Alisa</t>
  </si>
  <si>
    <t xml:space="preserve">Pižova Alisa </t>
  </si>
  <si>
    <t xml:space="preserve">Kobka Emilija </t>
  </si>
  <si>
    <t>Ūzuliņa Luisa Marija</t>
  </si>
  <si>
    <t>DI-DANCERS</t>
  </si>
  <si>
    <t>Stepanova Ieva</t>
  </si>
  <si>
    <t>Razgale Ketrīna</t>
  </si>
  <si>
    <t xml:space="preserve">Marčuka-Žurkova Patrīcija </t>
  </si>
  <si>
    <t xml:space="preserve">Rennova Аlisa </t>
  </si>
  <si>
    <t>Petrova Erika</t>
  </si>
  <si>
    <t xml:space="preserve">Vancere Ešlija </t>
  </si>
  <si>
    <t xml:space="preserve">Glazkova Valerija </t>
  </si>
  <si>
    <t xml:space="preserve">Mitrofanova Ksenija </t>
  </si>
  <si>
    <t xml:space="preserve">Gontarjova Anastasija </t>
  </si>
  <si>
    <t xml:space="preserve">Tuzova Ksenija </t>
  </si>
  <si>
    <t xml:space="preserve">Capova Valerija </t>
  </si>
  <si>
    <t xml:space="preserve">Kārkliņa Maija </t>
  </si>
  <si>
    <t xml:space="preserve">Sjuldina Valerija </t>
  </si>
  <si>
    <t xml:space="preserve">Kuzmina Valerija </t>
  </si>
  <si>
    <t>Dmitrijeva Anna</t>
  </si>
  <si>
    <t>Rone Loreta</t>
  </si>
  <si>
    <t>Sokolova Dinara</t>
  </si>
  <si>
    <t>Kostina Eleonora</t>
  </si>
  <si>
    <t>Ziemele Paula</t>
  </si>
  <si>
    <t>Parfinoviča Mia Marija</t>
  </si>
  <si>
    <t>Meļņikova Alise</t>
  </si>
  <si>
    <t>Bleidere Anna</t>
  </si>
  <si>
    <t>Petrišins Kirills</t>
  </si>
  <si>
    <t>Grinčuks Kirills</t>
  </si>
  <si>
    <t xml:space="preserve">Ļašenko Georgs </t>
  </si>
  <si>
    <t>Auzenbergs Elgars</t>
  </si>
  <si>
    <t>Viakse Deniss</t>
  </si>
  <si>
    <t>Bumbieris Maksims</t>
  </si>
  <si>
    <t>Dzalbe Kamila</t>
  </si>
  <si>
    <t xml:space="preserve">Karačunskaja Alisa </t>
  </si>
  <si>
    <t>Dance of Street</t>
  </si>
  <si>
    <t>Bērziņa Elīza</t>
  </si>
  <si>
    <t>Bizonova Ieva</t>
  </si>
  <si>
    <t>Erkmane Elizabete</t>
  </si>
  <si>
    <t xml:space="preserve">Blazevica Amina </t>
  </si>
  <si>
    <t xml:space="preserve">Vasiļjeva Anastasija </t>
  </si>
  <si>
    <t>Lisina Zlata</t>
  </si>
  <si>
    <t xml:space="preserve">Berzina Yasna </t>
  </si>
  <si>
    <t xml:space="preserve">Marčuka-Žurkova Beatrise </t>
  </si>
  <si>
    <t xml:space="preserve">Miteniece Мilana </t>
  </si>
  <si>
    <t>Gorbunova Milana</t>
  </si>
  <si>
    <t>Mitkeviča Ksenija</t>
  </si>
  <si>
    <t>Homma Sofija</t>
  </si>
  <si>
    <t>Gurova Taisija</t>
  </si>
  <si>
    <t>Zujeva Viktorija</t>
  </si>
  <si>
    <t>Apine Alina</t>
  </si>
  <si>
    <t xml:space="preserve">Čekmarjova Katrīna </t>
  </si>
  <si>
    <t>Peļņika Poļina</t>
  </si>
  <si>
    <t>Ivenkova Maija</t>
  </si>
  <si>
    <t>Latvian Open</t>
  </si>
  <si>
    <t>Siliņa Elīna</t>
  </si>
  <si>
    <t>Dmitrijeva Miroslava</t>
  </si>
  <si>
    <t>Kmeta Milana</t>
  </si>
  <si>
    <t>Antonova Mia</t>
  </si>
  <si>
    <t>Let's Dance</t>
  </si>
  <si>
    <t xml:space="preserve">Semjonovs Aleksejs </t>
  </si>
  <si>
    <t xml:space="preserve">Sidorenkovs Ļevs </t>
  </si>
  <si>
    <t>XDS</t>
  </si>
  <si>
    <t>Sosnova Arina</t>
  </si>
  <si>
    <t>Zaiceva Darja</t>
  </si>
  <si>
    <t>Staļģeviča Santa</t>
  </si>
  <si>
    <t>Lasmane Adriana</t>
  </si>
  <si>
    <t>Ozola Sofija</t>
  </si>
  <si>
    <t>Kārkliņa Justīne</t>
  </si>
  <si>
    <t>Miļuna Eliāna</t>
  </si>
  <si>
    <t>Vasiļevskaja Darja</t>
  </si>
  <si>
    <t>Prudivus Līna</t>
  </si>
  <si>
    <t>Baikovskaja Jeļizaveta</t>
  </si>
  <si>
    <t>Lemkina Elizabete</t>
  </si>
  <si>
    <t>Petkuna Elīna</t>
  </si>
  <si>
    <t>Dzalbe Olīvija</t>
  </si>
  <si>
    <t>Vizbule Valērija</t>
  </si>
  <si>
    <t>Dubova Darja</t>
  </si>
  <si>
    <t>Vaščilko Sofija</t>
  </si>
  <si>
    <t>Jumaeva Nika</t>
  </si>
  <si>
    <t>Vagale Nikola</t>
  </si>
  <si>
    <t>Rešmidilova Arina</t>
  </si>
  <si>
    <t>Damcenko Melissa</t>
  </si>
  <si>
    <t>Andrejeva Beatrise</t>
  </si>
  <si>
    <t>Zagumjonnova Ksenija</t>
  </si>
  <si>
    <t>Golojad Timur</t>
  </si>
  <si>
    <t>Misjuka Margarita</t>
  </si>
  <si>
    <t>Jarniha Valērija</t>
  </si>
  <si>
    <t>Auguste Anete Una</t>
  </si>
  <si>
    <t>Tērnere Luīze Eleina</t>
  </si>
  <si>
    <t>Gorbunova Vlada</t>
  </si>
  <si>
    <t>Fišere Darina</t>
  </si>
  <si>
    <t>Kalinkeviča Monta</t>
  </si>
  <si>
    <t>Buļipopa Anna</t>
  </si>
  <si>
    <t>Tautiete Luīze</t>
  </si>
  <si>
    <t>Konstantinova Nellija</t>
  </si>
  <si>
    <t>Konstantinova Anna</t>
  </si>
  <si>
    <t>Ļipuncova Beatrise</t>
  </si>
  <si>
    <t>Poļakova Poļina</t>
  </si>
  <si>
    <t>Burashnikova Jekaterina</t>
  </si>
  <si>
    <t>Protizāne Mikeila</t>
  </si>
  <si>
    <t>Džeriņa Katrīna</t>
  </si>
  <si>
    <t>Stakinova Annija</t>
  </si>
  <si>
    <t>Bogdanova Gabija Elizabete</t>
  </si>
  <si>
    <t>Buzmakova Aurēlija</t>
  </si>
  <si>
    <t>Smirnova Olīvija</t>
  </si>
  <si>
    <t>Borodins Aleksandrs</t>
  </si>
  <si>
    <t>Kaufmanis Gustavs</t>
  </si>
  <si>
    <t>Feceris Tomass</t>
  </si>
  <si>
    <t>Zimnohs Klāvs Zigmunds</t>
  </si>
  <si>
    <t>Moora Līga</t>
  </si>
  <si>
    <t>Grigorjeva Anfisa</t>
  </si>
  <si>
    <t>Tihomirova Valērija</t>
  </si>
  <si>
    <t>Višņakova Madara</t>
  </si>
  <si>
    <t>Rosmane Keita</t>
  </si>
  <si>
    <t>Eltermane Adriana</t>
  </si>
  <si>
    <t>Brākša Kristiāna</t>
  </si>
  <si>
    <t>Ozoliņa Elizabete</t>
  </si>
  <si>
    <t>Kazenko Elizabete</t>
  </si>
  <si>
    <t>Meškova Kerija</t>
  </si>
  <si>
    <t>Vavilova Darina</t>
  </si>
  <si>
    <t>Ļvova Marija</t>
  </si>
  <si>
    <t>Poļivkina Marija</t>
  </si>
  <si>
    <t>Dūša Skārleta</t>
  </si>
  <si>
    <t>Abakumova Valērija</t>
  </si>
  <si>
    <t>Bobova Lana</t>
  </si>
  <si>
    <t>Frolova Daniela</t>
  </si>
  <si>
    <t>Stafecka Samanta</t>
  </si>
  <si>
    <t>Geraščenko Alīna</t>
  </si>
  <si>
    <t>Bergmane Patrīcija</t>
  </si>
  <si>
    <t>Kirika Patrīcija Nikola</t>
  </si>
  <si>
    <t>Lāce Keita</t>
  </si>
  <si>
    <t>Podobeda Anna</t>
  </si>
  <si>
    <t>Podobeda Sofija</t>
  </si>
  <si>
    <t>Burashnikov Maksim</t>
  </si>
  <si>
    <t>Ufarkin Leo</t>
  </si>
  <si>
    <t>Gorbunovs Natans</t>
  </si>
  <si>
    <t>Jakovenko Mihails</t>
  </si>
  <si>
    <t>Backstage Art Center</t>
  </si>
  <si>
    <t>Znotiņa Marta</t>
  </si>
  <si>
    <t>Nikolajeva Ksenija</t>
  </si>
  <si>
    <t>Abdrašitova Jana</t>
  </si>
  <si>
    <t>Iekļava Baiba</t>
  </si>
  <si>
    <t>Pereligina Anna</t>
  </si>
  <si>
    <t>Todes</t>
  </si>
  <si>
    <t>Gorbuzova Arina</t>
  </si>
  <si>
    <t>Vorobjova Liana</t>
  </si>
  <si>
    <t>Marčenko Milana</t>
  </si>
  <si>
    <t>Parfinoviča Agata</t>
  </si>
  <si>
    <t>Satina Elizaveta</t>
  </si>
  <si>
    <t>Mēriņa Melisa</t>
  </si>
  <si>
    <t>Dinula Darja</t>
  </si>
  <si>
    <t>Voitenkova Anastasija</t>
  </si>
  <si>
    <t>Saveļjeva Sofija</t>
  </si>
  <si>
    <t>Proshin Timur</t>
  </si>
  <si>
    <t>Yakovele Iya</t>
  </si>
  <si>
    <t>Dancessimus</t>
  </si>
  <si>
    <t>Zariņa Enija</t>
  </si>
  <si>
    <t>Polukejeva Angelina</t>
  </si>
  <si>
    <t>Zīle Kristiāna</t>
  </si>
  <si>
    <t>Kovaļevska Marta</t>
  </si>
  <si>
    <t>Loskutova Anna</t>
  </si>
  <si>
    <t>Eydina Gerda</t>
  </si>
  <si>
    <t>Usane Sofija</t>
  </si>
  <si>
    <t>Zeltiņa Sofija Anna</t>
  </si>
  <si>
    <t>Andrejenkova Anastasija</t>
  </si>
  <si>
    <t>Manuilova Arina</t>
  </si>
  <si>
    <t>Bobrova Arina</t>
  </si>
  <si>
    <t>Motoro Liāna</t>
  </si>
  <si>
    <t>Lekse Alise</t>
  </si>
  <si>
    <t>Kaprīze Ozolnieki</t>
  </si>
  <si>
    <t>Reinvalde Anabella</t>
  </si>
  <si>
    <t>Laizāne Monta</t>
  </si>
  <si>
    <t>Zemītis Raimonds</t>
  </si>
  <si>
    <t>Meiere Estere</t>
  </si>
  <si>
    <t>Liu Melisaiu</t>
  </si>
  <si>
    <t>Kostjuneviča Nikola</t>
  </si>
  <si>
    <t>Lavrenova Uljana</t>
  </si>
  <si>
    <t>Ždanoviča Milana</t>
  </si>
  <si>
    <t>Ķeniņa Inessa</t>
  </si>
  <si>
    <t>Tihomirova Ksenija</t>
  </si>
  <si>
    <t>Velika Maija</t>
  </si>
  <si>
    <t>Dumceva Milēna</t>
  </si>
  <si>
    <t>Grīnfelde Patrīcija</t>
  </si>
  <si>
    <t>Melnkalne Karmena</t>
  </si>
  <si>
    <t>Bogdanova Paula</t>
  </si>
  <si>
    <t>Kaļčenko Emīlija Aleksandra</t>
  </si>
  <si>
    <t>Upeniece Merija</t>
  </si>
  <si>
    <t>Tihonova Sofija</t>
  </si>
  <si>
    <t>Deņisko Poļina</t>
  </si>
  <si>
    <t>Bulle Šarlote</t>
  </si>
  <si>
    <t>Bartkeviča Adelīna</t>
  </si>
  <si>
    <t>Jaunskunga Sofija</t>
  </si>
  <si>
    <t>Bajāre Leila</t>
  </si>
  <si>
    <t>Dunce Stella</t>
  </si>
  <si>
    <t>Turka Heidija</t>
  </si>
  <si>
    <t>Ostere Nora</t>
  </si>
  <si>
    <t>Zakrepska Viktorija</t>
  </si>
  <si>
    <t>Valberga Maija</t>
  </si>
  <si>
    <t>Lekse Odrija</t>
  </si>
  <si>
    <t>Bičkova Anastasija</t>
  </si>
  <si>
    <t>Sorokina Viktorija</t>
  </si>
  <si>
    <t>Kovaļenko Sofija</t>
  </si>
  <si>
    <t>Klementjeva Sofija</t>
  </si>
  <si>
    <t>Vasitčenkova Luīze Patrīcija</t>
  </si>
  <si>
    <t>Plotnikova Alisa</t>
  </si>
  <si>
    <t>Kalniņa Evija</t>
  </si>
  <si>
    <t>Vedze Samanta</t>
  </si>
  <si>
    <t>Buketova Aleksandra</t>
  </si>
  <si>
    <t>Gaskova Mila</t>
  </si>
  <si>
    <t>Goriņa Martins</t>
  </si>
  <si>
    <t>Verniece Paula</t>
  </si>
  <si>
    <t>Briede Elza</t>
  </si>
  <si>
    <t>Reinvalde Lilianna</t>
  </si>
  <si>
    <t>Liepiņa Luella</t>
  </si>
  <si>
    <t>Dance Kadrija</t>
  </si>
  <si>
    <t>Abolniece Millija</t>
  </si>
  <si>
    <t>Jurane Eleonora</t>
  </si>
  <si>
    <t>Dinsberga Katrīna</t>
  </si>
  <si>
    <t>Dudaļeva Juliana</t>
  </si>
  <si>
    <t>Landzmane Elizabete</t>
  </si>
  <si>
    <t>Endriksone Marta</t>
  </si>
  <si>
    <t>Endriksone Elizabete</t>
  </si>
  <si>
    <t>Landzmane Sofija</t>
  </si>
  <si>
    <t>Jukšinska Elizabete Viktorija</t>
  </si>
  <si>
    <t>Ņikitina Eva Linda</t>
  </si>
  <si>
    <t>Avdeviča Nataļja</t>
  </si>
  <si>
    <t>Baltic Dance Cup</t>
  </si>
  <si>
    <t>Frolova Emīlija</t>
  </si>
  <si>
    <t>Skopāne Alise</t>
  </si>
  <si>
    <t>Meļehina Sofija</t>
  </si>
  <si>
    <t>Zelcmane Anna-Marija</t>
  </si>
  <si>
    <t>Mikena Rebeka</t>
  </si>
  <si>
    <t>Vinnikova Ksenija</t>
  </si>
  <si>
    <t>Paļčevska Sofija</t>
  </si>
  <si>
    <t>Voiseta Samanta</t>
  </si>
  <si>
    <t>Kaktobule Marija</t>
  </si>
  <si>
    <t>Vizbule Terēze</t>
  </si>
  <si>
    <t>Zute Samanta</t>
  </si>
  <si>
    <t>Bursevica Sofija</t>
  </si>
  <si>
    <t>Anufrijeva Sanija Laura</t>
  </si>
  <si>
    <t>Moldengauere Estere</t>
  </si>
  <si>
    <t>Jeniņa Anastasija</t>
  </si>
  <si>
    <t>Blaze</t>
  </si>
  <si>
    <t>Buravcova Anna</t>
  </si>
  <si>
    <t>Elizabete-Viktorija</t>
  </si>
  <si>
    <t>Matjuhova Emili</t>
  </si>
  <si>
    <t>Orlova Emilia</t>
  </si>
  <si>
    <t>Baala Ņikoļeta</t>
  </si>
  <si>
    <t>Liukonina Monika</t>
  </si>
  <si>
    <t>Ruban Varvara</t>
  </si>
  <si>
    <t>Morīte Melānija Dārta</t>
  </si>
  <si>
    <t>Lukina Polina</t>
  </si>
  <si>
    <t>Gutāne Melānija</t>
  </si>
  <si>
    <t>Kurloviča Aleksandra</t>
  </si>
  <si>
    <t>Liepāja</t>
  </si>
  <si>
    <t>Budriķīte Delija</t>
  </si>
  <si>
    <t>Juhno Enija</t>
  </si>
  <si>
    <t>Andrejevs Samuēls</t>
  </si>
  <si>
    <t>Kozhina Polina</t>
  </si>
  <si>
    <t>Ancīte Kerija</t>
  </si>
  <si>
    <t>Kezika Emīlija</t>
  </si>
  <si>
    <t>Shapurova Taisija</t>
  </si>
  <si>
    <t>Osmanova Malika</t>
  </si>
  <si>
    <t>Vavilova Melānija Romija</t>
  </si>
  <si>
    <t>Gumbele Gerda</t>
  </si>
  <si>
    <t>Sutugina Aleksa</t>
  </si>
  <si>
    <t>Stepko Sofija</t>
  </si>
  <si>
    <t>Hansena Tince</t>
  </si>
  <si>
    <t>Isajeva Violeta</t>
  </si>
  <si>
    <t>Leimane Keita Gabriela</t>
  </si>
  <si>
    <t>Borcova Anastasija</t>
  </si>
  <si>
    <t>Koževatkina Jeļizaveta</t>
  </si>
  <si>
    <t>Vidovska Nikola</t>
  </si>
  <si>
    <t>Davidova Dana</t>
  </si>
  <si>
    <t>Pedkoviča Elīna</t>
  </si>
  <si>
    <t>Tutova Poļina</t>
  </si>
  <si>
    <t>Slastjunova Vanesa</t>
  </si>
  <si>
    <t>Gailīte Dārta</t>
  </si>
  <si>
    <t>Balga Emīlija</t>
  </si>
  <si>
    <t>Konireva Amanda</t>
  </si>
  <si>
    <t>Bidiņa Alise</t>
  </si>
  <si>
    <t>Ambaine Leina</t>
  </si>
  <si>
    <t>Andrejeva Sofija</t>
  </si>
  <si>
    <t>Rotkāja Kerija Ieviņa</t>
  </si>
  <si>
    <t>Aprupe Kristīne</t>
  </si>
  <si>
    <t>Space Dance Studio</t>
  </si>
  <si>
    <t>Vladjuščenkova Alise</t>
  </si>
  <si>
    <t>Taradeiko Lilija</t>
  </si>
  <si>
    <t>Barkovska Tatjana</t>
  </si>
  <si>
    <t>Sjomina Polina</t>
  </si>
  <si>
    <t>Kupča Alise Maija</t>
  </si>
  <si>
    <t>Grīnvalde Madara</t>
  </si>
  <si>
    <t>Ancelāns Henrijs</t>
  </si>
  <si>
    <t>Kazanceva Anastasija</t>
  </si>
  <si>
    <t>Petjukeviča Alīna</t>
  </si>
  <si>
    <t>DPKN</t>
  </si>
  <si>
    <t>Biļinska Evelīna</t>
  </si>
  <si>
    <t>Tīsena Sanita</t>
  </si>
  <si>
    <t>Homka Linda</t>
  </si>
  <si>
    <t>Urbeviča Keita</t>
  </si>
  <si>
    <t>Ketnere Madara</t>
  </si>
  <si>
    <t>Mihailova Omēlija</t>
  </si>
  <si>
    <t>Briede Krista Elizabete</t>
  </si>
  <si>
    <t>Rubese Daniela</t>
  </si>
  <si>
    <t>Puriņa Helga</t>
  </si>
  <si>
    <t>Sakne Samanta</t>
  </si>
  <si>
    <t>Kopā uz 2022.g.</t>
  </si>
  <si>
    <t>Uz nākamo gadu</t>
  </si>
  <si>
    <t>1.līga</t>
  </si>
  <si>
    <t>Par iepriekšējo periodu</t>
  </si>
  <si>
    <t>Terentjeva Amēlija</t>
  </si>
  <si>
    <t>Nikulina Ieva</t>
  </si>
  <si>
    <t>Kortenko Aleksandrs</t>
  </si>
  <si>
    <t>Boža Amēlija</t>
  </si>
  <si>
    <t>Rīgas Iļģuciema pamatskola</t>
  </si>
  <si>
    <t>Golubeva Darja</t>
  </si>
  <si>
    <t>Terehova Aleksandra</t>
  </si>
  <si>
    <t>Zaharova Ksenija</t>
  </si>
  <si>
    <t>Adamoviča Jekaterina</t>
  </si>
  <si>
    <t>Trane Milana</t>
  </si>
  <si>
    <t>Ozola Paula</t>
  </si>
  <si>
    <t>Kodoliņa Estere</t>
  </si>
  <si>
    <t>Gordienko Alisa</t>
  </si>
  <si>
    <t>Sokolova Anastasija</t>
  </si>
  <si>
    <t>Tauriņa Emili</t>
  </si>
  <si>
    <t>Leišavniece Emīlija</t>
  </si>
  <si>
    <t>Lastovska Emma</t>
  </si>
  <si>
    <t>Kukīte Mia</t>
  </si>
  <si>
    <t>Seidova Milana</t>
  </si>
  <si>
    <t>Ozoliņa Zane</t>
  </si>
  <si>
    <t>Deju skola "Dzirnas"</t>
  </si>
  <si>
    <t>Ivanova Marija</t>
  </si>
  <si>
    <t>Paukšēna Grēta</t>
  </si>
  <si>
    <t>Runča Nikole</t>
  </si>
  <si>
    <t>Orlova Alisa</t>
  </si>
  <si>
    <t>Kozlovska Ieva</t>
  </si>
  <si>
    <t>Astašonoka Amelija</t>
  </si>
  <si>
    <t>Verbickis Dainis</t>
  </si>
  <si>
    <t>Rižeščenoka Kellija Gabriela</t>
  </si>
  <si>
    <t>Griscuka Alisa</t>
  </si>
  <si>
    <t>Gorkina Alisa</t>
  </si>
  <si>
    <t>Ragimova Sofija</t>
  </si>
  <si>
    <t>Novikova Larija</t>
  </si>
  <si>
    <t>Arefjeva Arianna</t>
  </si>
  <si>
    <t>Vanaga Melanija</t>
  </si>
  <si>
    <t>Mališs Artemijs</t>
  </si>
  <si>
    <t>Stafecka Justīne Liene</t>
  </si>
  <si>
    <t>Radziņa Beatrise</t>
  </si>
  <si>
    <t>Fattahova Ketrina Karolīna</t>
  </si>
  <si>
    <t>Komare Alise</t>
  </si>
  <si>
    <t>TwinHcrew</t>
  </si>
  <si>
    <t>Osīte Elīza</t>
  </si>
  <si>
    <t>Mariabella Veržbicka</t>
  </si>
  <si>
    <t>Pavlova Nellija</t>
  </si>
  <si>
    <t>Gulbe Nikola</t>
  </si>
  <si>
    <t>Orehova Melita</t>
  </si>
  <si>
    <t>Driķīte Elīna</t>
  </si>
  <si>
    <t>Mihelsone Katrīna Mišela</t>
  </si>
  <si>
    <t>Oļeņika Aleksandra</t>
  </si>
  <si>
    <t>Lūkina Sanija</t>
  </si>
  <si>
    <t>Brakovska Britnija</t>
  </si>
  <si>
    <t>Lejniece Melānija Loreta</t>
  </si>
  <si>
    <t>Jagodkina Demija Tīna</t>
  </si>
  <si>
    <t>Bergmane Vladislava</t>
  </si>
  <si>
    <t>Konošonoks Kims</t>
  </si>
  <si>
    <t>GMD studio</t>
  </si>
  <si>
    <t>Jefremova Evelīna</t>
  </si>
  <si>
    <t>Bite Odrija</t>
  </si>
  <si>
    <t>Niciparovičs Markuss</t>
  </si>
  <si>
    <t>Nikitina Marija</t>
  </si>
  <si>
    <t>Koļenčenko Poļina</t>
  </si>
  <si>
    <t>Ribakova Karina</t>
  </si>
  <si>
    <t>Zvonovska Diāna</t>
  </si>
  <si>
    <t>Babre Sandra</t>
  </si>
  <si>
    <t>Armaloviča Jana</t>
  </si>
  <si>
    <t>Grandovska Enija</t>
  </si>
  <si>
    <t>Krivoručko Darja</t>
  </si>
  <si>
    <t>Mihnoviča Lana</t>
  </si>
  <si>
    <t>Pinka Amēlija</t>
  </si>
  <si>
    <t>Savinova Alisa</t>
  </si>
  <si>
    <t>Odegova Jelizaveta</t>
  </si>
  <si>
    <t>Ribakova Sofija</t>
  </si>
  <si>
    <t>Trambarina Milana</t>
  </si>
  <si>
    <t>Skulte Emīlija</t>
  </si>
  <si>
    <t>Āboliņa Mišela</t>
  </si>
  <si>
    <t>Kjahjarje Elizabete</t>
  </si>
  <si>
    <t>Klimone Nikola</t>
  </si>
  <si>
    <t>Sivina Helēna</t>
  </si>
  <si>
    <t>Indrijaite Hetere</t>
  </si>
  <si>
    <t>Rudzītis Kārlis</t>
  </si>
  <si>
    <t>Podniece Viktorija</t>
  </si>
  <si>
    <t>Cīrule Anete</t>
  </si>
  <si>
    <t>Petravska Emilija</t>
  </si>
  <si>
    <t>Lapsiņa Emīlija Elizabete</t>
  </si>
  <si>
    <t>Draule Šarlote</t>
  </si>
  <si>
    <t>Babris Adrians</t>
  </si>
  <si>
    <t>Bondare Jana</t>
  </si>
  <si>
    <t>Stoptime Rēzekne</t>
  </si>
  <si>
    <t>Šubina Darja</t>
  </si>
  <si>
    <t>Dukure Viktorija</t>
  </si>
  <si>
    <t>Bistrova Agnese</t>
  </si>
  <si>
    <t>Bistere Līva</t>
  </si>
  <si>
    <t>Dance Studio Space</t>
  </si>
  <si>
    <t>Fiļajevs Dmitrijs</t>
  </si>
  <si>
    <t>Sandors Reinis</t>
  </si>
  <si>
    <t>Trizna Timurs</t>
  </si>
  <si>
    <t>Armaloviča Sofija</t>
  </si>
  <si>
    <t>Dance studio DEMO</t>
  </si>
  <si>
    <t>Krivuneca Alīna</t>
  </si>
  <si>
    <t>Poļakova Valērija</t>
  </si>
  <si>
    <t>Reihmane Aleksandra</t>
  </si>
  <si>
    <t>Davidenko Olīvija</t>
  </si>
  <si>
    <t>Vatčenko Jekaterina</t>
  </si>
  <si>
    <t>Isahanova Margarita</t>
  </si>
  <si>
    <t>Šveicare Luīze Anna</t>
  </si>
  <si>
    <t>Bondarčuka Ksenija</t>
  </si>
  <si>
    <t>Petrova Diāna</t>
  </si>
  <si>
    <t>Andrejeva Angelīna</t>
  </si>
  <si>
    <t>Freimane Kristīne</t>
  </si>
  <si>
    <t>Aleksandrova Anastasija</t>
  </si>
  <si>
    <t>Artmane Eva</t>
  </si>
  <si>
    <t>Sviksa Elīna</t>
  </si>
  <si>
    <t>Bogdanova Arina</t>
  </si>
  <si>
    <t>Cimure Keita</t>
  </si>
  <si>
    <t>Prokopoviča Žanete</t>
  </si>
  <si>
    <t>Zimerte Linda</t>
  </si>
  <si>
    <t>Freidenfelde Līga</t>
  </si>
  <si>
    <t>Dance studio SPACE</t>
  </si>
  <si>
    <t>Vidina Viktorija</t>
  </si>
  <si>
    <t>Erina Mišela</t>
  </si>
  <si>
    <t>Gavrikova Ieva</t>
  </si>
  <si>
    <t>Jakobsone Eliza Ulla</t>
  </si>
  <si>
    <t>Danilova Anastasija</t>
  </si>
  <si>
    <t>Balčūne Elīza</t>
  </si>
  <si>
    <t>Gaigala - Petkeviča Loreta</t>
  </si>
  <si>
    <t>Egle Paula</t>
  </si>
  <si>
    <t>Buivida Ksenija</t>
  </si>
  <si>
    <t>Ozerova Milana</t>
  </si>
  <si>
    <t>Rusina Linda</t>
  </si>
  <si>
    <t>`</t>
  </si>
  <si>
    <t>Berdečnikova Alina</t>
  </si>
  <si>
    <t>Mamedova Ajla</t>
  </si>
  <si>
    <t>Lepa Līva</t>
  </si>
  <si>
    <t>Ziediņa Elza</t>
  </si>
  <si>
    <t>Teibe Estere</t>
  </si>
  <si>
    <t>Griņeviča Liāna</t>
  </si>
  <si>
    <t>Zeltiņa Patrīcija</t>
  </si>
  <si>
    <t>Kurčanova Jana</t>
  </si>
  <si>
    <t>Puķjānis Dāvids</t>
  </si>
  <si>
    <t>Bučinskis Matvejs</t>
  </si>
  <si>
    <t>Zeidmanis Rūdolfs</t>
  </si>
  <si>
    <t>Smirnova Alise</t>
  </si>
  <si>
    <t>Dudkeviča Agnese</t>
  </si>
  <si>
    <t>Ņikona Alise</t>
  </si>
  <si>
    <t>Lune Karolina</t>
  </si>
  <si>
    <t>Zavadska Karolina</t>
  </si>
  <si>
    <t>Židkova Alina</t>
  </si>
  <si>
    <t>Bormane Karolīna</t>
  </si>
  <si>
    <t>Ķere Alise</t>
  </si>
  <si>
    <t>Korbmahere Beāte</t>
  </si>
  <si>
    <t>Silerova Beta</t>
  </si>
  <si>
    <t>Kocere Sāra Bella</t>
  </si>
  <si>
    <t>Spalve Alise</t>
  </si>
  <si>
    <t>Kartashova Alona</t>
  </si>
  <si>
    <t>Jansma Nora</t>
  </si>
  <si>
    <t>Ragimova Marija</t>
  </si>
  <si>
    <t>Fjodorova Jana</t>
  </si>
  <si>
    <t>STOPTIME Dance Studio</t>
  </si>
  <si>
    <t>Sviridova Anna</t>
  </si>
  <si>
    <t>Krinberga Evelīna</t>
  </si>
  <si>
    <t>Serova Alisa</t>
  </si>
  <si>
    <t>Deju skola KPD</t>
  </si>
  <si>
    <t>Čuvizova Ļika</t>
  </si>
  <si>
    <t>Ivanenko Andželika</t>
  </si>
  <si>
    <t>Āboma Alise</t>
  </si>
  <si>
    <t>Deju studija DPKN</t>
  </si>
  <si>
    <t>Jaroševiča Leonarda</t>
  </si>
  <si>
    <t>Bestikova Arīna</t>
  </si>
  <si>
    <t>Baumane Ebigeila Enija</t>
  </si>
  <si>
    <t>Zariņa Annija</t>
  </si>
  <si>
    <t>Matusa Alise</t>
  </si>
  <si>
    <t>Birova Māra</t>
  </si>
  <si>
    <t>Auziņš Endijs</t>
  </si>
  <si>
    <t>Dementjevs Pāvels</t>
  </si>
  <si>
    <t>Sprudzane Sofija</t>
  </si>
  <si>
    <t>Cimermane Tīna</t>
  </si>
  <si>
    <t>Eihenbauma Anna</t>
  </si>
  <si>
    <t>Loca Marta</t>
  </si>
  <si>
    <t>Bulaņenko Vitalīna</t>
  </si>
  <si>
    <t>Afanasjeva Emīlija</t>
  </si>
  <si>
    <t>Fedotova Poļina</t>
  </si>
  <si>
    <t>Mistjukeviča Diāna</t>
  </si>
  <si>
    <t>Drozdova Elizaveta</t>
  </si>
  <si>
    <t>Šeluhina Elīna</t>
  </si>
  <si>
    <t>Bogana Darja</t>
  </si>
  <si>
    <t>Liepiņa Enija</t>
  </si>
  <si>
    <t>Solomina Ksenija</t>
  </si>
  <si>
    <t>Drele Luīze</t>
  </si>
  <si>
    <t>Lazučonoka Nikola</t>
  </si>
  <si>
    <t>Sutena Patrīcija</t>
  </si>
  <si>
    <t>Oļehnoviča Ērika</t>
  </si>
  <si>
    <t>Podniece Kerolaina</t>
  </si>
  <si>
    <t>Gabrāne Kristiāna</t>
  </si>
  <si>
    <t>Samule Kristiāna</t>
  </si>
  <si>
    <t>Ņesterova Sofija</t>
  </si>
  <si>
    <t>Herasiuta Varvara</t>
  </si>
  <si>
    <t>Lehicka Mišela</t>
  </si>
  <si>
    <t>Svarinska Viktorija</t>
  </si>
  <si>
    <t>Novikova Liliāna</t>
  </si>
  <si>
    <t>Kulbanova Anastasija</t>
  </si>
  <si>
    <t>Meldere Melisa</t>
  </si>
  <si>
    <t>Derjuseva Dominika</t>
  </si>
  <si>
    <t>Kravale Eva</t>
  </si>
  <si>
    <t>Katinska Samanta</t>
  </si>
  <si>
    <t>Skuja Evelīna</t>
  </si>
  <si>
    <t>Rubene Amēlija</t>
  </si>
  <si>
    <t>Kirilova Enija Marta</t>
  </si>
  <si>
    <t>Parigina Sofija</t>
  </si>
  <si>
    <t>Vihrova Viktorija</t>
  </si>
  <si>
    <t>Matone Vladlena</t>
  </si>
  <si>
    <t>Navumovich Yeva</t>
  </si>
  <si>
    <t>Bogačovs Kirills</t>
  </si>
  <si>
    <t>Košmans Timurs</t>
  </si>
  <si>
    <t>Dimereca Viktorija</t>
  </si>
  <si>
    <t>Gromoļeva Daniela</t>
  </si>
  <si>
    <t>Kopā uz 2023.g.</t>
  </si>
  <si>
    <t>Fedosejeva Taisija</t>
  </si>
  <si>
    <t>Petruseviča Paula</t>
  </si>
  <si>
    <t>Kulikova Alīse</t>
  </si>
  <si>
    <t>Ogibalova Jana</t>
  </si>
  <si>
    <t>Dubovika Ksenija</t>
  </si>
  <si>
    <t>Krasilenko Liliana</t>
  </si>
  <si>
    <t>Sulima Marija</t>
  </si>
  <si>
    <t>Kļaviņa Megija</t>
  </si>
  <si>
    <t>Kuznecova Nikol</t>
  </si>
  <si>
    <t>Gasparaite Reičela</t>
  </si>
  <si>
    <t>Masaļska Vita</t>
  </si>
  <si>
    <t>Ivanova Viktorija</t>
  </si>
  <si>
    <t>Paļule Paula</t>
  </si>
  <si>
    <t>Barsukaite Aleksandra</t>
  </si>
  <si>
    <t>Lets</t>
  </si>
  <si>
    <t>Viļuma Liāna</t>
  </si>
  <si>
    <t>Čibulis Eduards</t>
  </si>
  <si>
    <t>Dargužis Dominiks</t>
  </si>
  <si>
    <t>Ūvens Oskars</t>
  </si>
  <si>
    <t>Malahovska Mila</t>
  </si>
  <si>
    <t>Vasiļjeva Adriana</t>
  </si>
  <si>
    <t>Ļiļikina Īrisa</t>
  </si>
  <si>
    <t>Lontore Agate</t>
  </si>
  <si>
    <t>Paškeviča Jasmīna Antuanete</t>
  </si>
  <si>
    <t>Augstkalne Ģerda</t>
  </si>
  <si>
    <t>Zujeva Anastasija</t>
  </si>
  <si>
    <t>Grigorenko Darja</t>
  </si>
  <si>
    <t>Šknarova Viktorija</t>
  </si>
  <si>
    <t>Cakule Evija</t>
  </si>
  <si>
    <t>Kolosova Jelizaveta</t>
  </si>
  <si>
    <t>Sergejeva Paula</t>
  </si>
  <si>
    <t>Ščemeleva Darija</t>
  </si>
  <si>
    <t>Fridmane Gabriella</t>
  </si>
  <si>
    <t>Askerova Sofija</t>
  </si>
  <si>
    <t>Siliņa Laura</t>
  </si>
  <si>
    <t>Fjodorova Arina</t>
  </si>
  <si>
    <t>Bančule Elīza</t>
  </si>
  <si>
    <t>Zinovjeva Veronika</t>
  </si>
  <si>
    <t>Radionova Milana</t>
  </si>
  <si>
    <t>Vasiļjeva Anastasija</t>
  </si>
  <si>
    <t>Zute Dagnija</t>
  </si>
  <si>
    <t>Zeltiņa Agnesi</t>
  </si>
  <si>
    <t>Stoptime</t>
  </si>
  <si>
    <t>Sarkane Emīlija</t>
  </si>
  <si>
    <t>Bodroviene Dominika</t>
  </si>
  <si>
    <t>Vītoliņa Elma</t>
  </si>
  <si>
    <t>Virka Patrīcija</t>
  </si>
  <si>
    <t>Roga Elīza</t>
  </si>
  <si>
    <t>Sārmiņa Marta Sibilla</t>
  </si>
  <si>
    <t>Merkulova Marta</t>
  </si>
  <si>
    <t>Ābola Paula</t>
  </si>
  <si>
    <t>Prokofjeva Elza</t>
  </si>
  <si>
    <t>Grūbe Gerda</t>
  </si>
  <si>
    <t>Misāne Evelīna</t>
  </si>
  <si>
    <t>Deglava Justīne</t>
  </si>
  <si>
    <t>Nāzare Līva</t>
  </si>
  <si>
    <t>Saturiņa Katrīne</t>
  </si>
  <si>
    <t>Ozoliņa Keitija</t>
  </si>
  <si>
    <t>Janēviča Klinta</t>
  </si>
  <si>
    <t>Birkāne Loreta</t>
  </si>
  <si>
    <t>Cibe Elīze</t>
  </si>
  <si>
    <t>Yablonskih Eva</t>
  </si>
  <si>
    <t>Eglīte Marta</t>
  </si>
  <si>
    <t>Millere Anna</t>
  </si>
  <si>
    <t>Tropa Beāte</t>
  </si>
  <si>
    <t>Ratkeviča Dārta</t>
  </si>
  <si>
    <t>Puriņa Gabriela</t>
  </si>
  <si>
    <t>Bokāne Anna</t>
  </si>
  <si>
    <t>Saturiņa Adele</t>
  </si>
  <si>
    <t>Lūkina Bella</t>
  </si>
  <si>
    <t>Cele Arina</t>
  </si>
  <si>
    <t>Simanovska Dana</t>
  </si>
  <si>
    <t>Jakubina Milana</t>
  </si>
  <si>
    <t>Rodceviča Daniella</t>
  </si>
  <si>
    <t>Dargužis Daniels</t>
  </si>
  <si>
    <t>Šamajeva Karina</t>
  </si>
  <si>
    <t>Cvekova Evelīna</t>
  </si>
  <si>
    <t>Lopatko Arina</t>
  </si>
  <si>
    <t>Rozenberga Elza Leila</t>
  </si>
  <si>
    <t>Ovsepjana Karolina</t>
  </si>
  <si>
    <t>Rozenberga Anastasija</t>
  </si>
  <si>
    <t>Makejeva Anna</t>
  </si>
  <si>
    <t>Stoptime Dance Studio</t>
  </si>
  <si>
    <t>Magada Arina</t>
  </si>
  <si>
    <t>Masaļska Diāna</t>
  </si>
  <si>
    <t>Bucule Jesenija</t>
  </si>
  <si>
    <t>Spička Ksenija</t>
  </si>
  <si>
    <t>Vējkrigere Patrīcija Anna</t>
  </si>
  <si>
    <t>Kirejeva Sofija</t>
  </si>
  <si>
    <t>Poļivkins Artjoms</t>
  </si>
  <si>
    <t>Kuzminska Agate</t>
  </si>
  <si>
    <t>Rapša Laura</t>
  </si>
  <si>
    <t>Sinkoveca Aleksa</t>
  </si>
  <si>
    <t>Antoneviča Anastasija</t>
  </si>
  <si>
    <t>Stepanova Elizaveta</t>
  </si>
  <si>
    <t>Ametere Evelīna</t>
  </si>
  <si>
    <t>Kovalenko Marta</t>
  </si>
  <si>
    <t>Ciganova Nikola</t>
  </si>
  <si>
    <t xml:space="preserve">Kačjušite Valerija </t>
  </si>
  <si>
    <t>Dubovska Milana</t>
  </si>
  <si>
    <t>Sknarova Viktorija</t>
  </si>
  <si>
    <t>Petrovska Karolīna</t>
  </si>
  <si>
    <t>Baranova Laura</t>
  </si>
  <si>
    <t>Aizazare Ļera</t>
  </si>
  <si>
    <t>Cerkaļina Anastasija</t>
  </si>
  <si>
    <t>Lučuk Marija</t>
  </si>
  <si>
    <t>Liperts Māris</t>
  </si>
  <si>
    <t>Avišāne Signija</t>
  </si>
  <si>
    <t>Baranika Anastasija</t>
  </si>
  <si>
    <t>Ganule Jekaterina</t>
  </si>
  <si>
    <t>Ūdrasola Viktorija</t>
  </si>
  <si>
    <t>Grinčuka Sofija</t>
  </si>
  <si>
    <t>Ogņeva Varvara</t>
  </si>
  <si>
    <t>Kaikova Maija</t>
  </si>
  <si>
    <t>Gauka Anastasija</t>
  </si>
  <si>
    <t>Vintere Linda</t>
  </si>
  <si>
    <t>Jangoļe Poļina</t>
  </si>
  <si>
    <t>Kemele Emīlija</t>
  </si>
  <si>
    <t>Jukoviča Aleksandra</t>
  </si>
  <si>
    <t>Grand Prix Jelgava</t>
  </si>
  <si>
    <t>Punkti (21.04.2024)</t>
  </si>
  <si>
    <t>Kuropatkina Amēlija</t>
  </si>
  <si>
    <t>Ostele Nora</t>
  </si>
  <si>
    <t>Mezraupa Maija</t>
  </si>
  <si>
    <t>Belere Elisona</t>
  </si>
  <si>
    <t>Kindereviča Melissa</t>
  </si>
  <si>
    <t>2.līga / open</t>
  </si>
  <si>
    <t>Bogana Milena</t>
  </si>
  <si>
    <t>Novikova Polina</t>
  </si>
  <si>
    <t>Gromova Beāte</t>
  </si>
  <si>
    <t>Veide Elīza</t>
  </si>
  <si>
    <t>Šulca Līga Viktorija</t>
  </si>
  <si>
    <t>Feldmane Adelīna</t>
  </si>
  <si>
    <t>Penclina Alisa</t>
  </si>
  <si>
    <t>Šafika Elisa</t>
  </si>
  <si>
    <t>Grava Eva</t>
  </si>
  <si>
    <t>Fiļimonova Līva</t>
  </si>
  <si>
    <t>Roze Marianna</t>
  </si>
  <si>
    <t>Žukova Elvīra</t>
  </si>
  <si>
    <t>Šamajeva Marina</t>
  </si>
  <si>
    <t>Cikule Laura</t>
  </si>
  <si>
    <t>Keiskalu Lorensa</t>
  </si>
  <si>
    <t>Pīrāga Madara</t>
  </si>
  <si>
    <t>Braunfelde Marta</t>
  </si>
  <si>
    <t>Legostajeva Milena</t>
  </si>
  <si>
    <t>Šimule Jana</t>
  </si>
  <si>
    <t>Žukova Veronika</t>
  </si>
  <si>
    <t>Zvanovska Diāna</t>
  </si>
  <si>
    <t>Ivanovs Ņikita</t>
  </si>
  <si>
    <t>Čuikovs Mihaels</t>
  </si>
  <si>
    <t>Dermane Evelīna</t>
  </si>
  <si>
    <t>Sproģe Evelīna</t>
  </si>
  <si>
    <t>Petrova Evelīna</t>
  </si>
  <si>
    <t>Urbāne Sannija</t>
  </si>
  <si>
    <t>Urbanoviča Angelina</t>
  </si>
  <si>
    <t>Miscenkova Arina</t>
  </si>
  <si>
    <t>Dementjeva Jūlija</t>
  </si>
  <si>
    <t>Paršonoka Ksenija</t>
  </si>
  <si>
    <t>Verigo Ksenija</t>
  </si>
  <si>
    <t>Laksa Luīze Aurēlija</t>
  </si>
  <si>
    <t>Burlakova Margarita</t>
  </si>
  <si>
    <t>Seide Sabita</t>
  </si>
  <si>
    <t>Plāce Undīne</t>
  </si>
  <si>
    <t>Jaroša Izabella</t>
  </si>
  <si>
    <t>Airijance Alīna</t>
  </si>
  <si>
    <t>Zmitrovich Maryana</t>
  </si>
  <si>
    <t>Haračibane Emili</t>
  </si>
  <si>
    <t>Beinaroviča Jūlija</t>
  </si>
  <si>
    <t>Ponomarenko Darja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</si>
</sst>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186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23" fillId="0" borderId="0"/>
  </cellStyleXfs>
  <cellXfs count="234">
    <xf numFmtId="0" fontId="0" fillId="0" borderId="0" xfId="0"/>
    <xf numFmtId="1" fontId="21" fillId="3" borderId="3" xfId="0" applyNumberFormat="1" applyFont="1" applyFill="1" applyBorder="1" applyAlignment="1">
      <alignment horizontal="center"/>
    </xf>
    <xf numFmtId="1" fontId="19" fillId="3" borderId="3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wrapText="1"/>
    </xf>
    <xf numFmtId="1" fontId="0" fillId="3" borderId="3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 wrapText="1"/>
    </xf>
    <xf numFmtId="1" fontId="0" fillId="0" borderId="1" xfId="0" applyNumberFormat="1" applyBorder="1" applyAlignment="1">
      <alignment horizontal="left" wrapText="1"/>
    </xf>
    <xf numFmtId="1" fontId="0" fillId="0" borderId="1" xfId="0" applyNumberFormat="1" applyBorder="1" applyAlignment="1">
      <alignment horizontal="left" vertical="center" wrapText="1"/>
    </xf>
    <xf numFmtId="1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 vertical="center"/>
    </xf>
    <xf numFmtId="1" fontId="0" fillId="4" borderId="3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 vertical="center" wrapText="1"/>
    </xf>
    <xf numFmtId="1" fontId="0" fillId="3" borderId="3" xfId="0" applyNumberFormat="1" applyFill="1" applyBorder="1" applyAlignment="1">
      <alignment horizontal="center" vertical="center"/>
    </xf>
    <xf numFmtId="1" fontId="20" fillId="3" borderId="3" xfId="0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0" borderId="6" xfId="0" applyNumberFormat="1" applyBorder="1" applyAlignment="1"/>
    <xf numFmtId="1" fontId="0" fillId="0" borderId="1" xfId="0" applyNumberFormat="1" applyBorder="1" applyAlignment="1"/>
    <xf numFmtId="1" fontId="0" fillId="0" borderId="8" xfId="0" applyNumberFormat="1" applyBorder="1" applyAlignment="1"/>
    <xf numFmtId="1" fontId="0" fillId="0" borderId="1" xfId="0" applyNumberFormat="1" applyFont="1" applyBorder="1" applyAlignment="1">
      <alignment horizontal="left"/>
    </xf>
    <xf numFmtId="1" fontId="21" fillId="4" borderId="3" xfId="0" applyNumberFormat="1" applyFont="1" applyFill="1" applyBorder="1" applyAlignment="1">
      <alignment horizontal="center"/>
    </xf>
    <xf numFmtId="1" fontId="19" fillId="4" borderId="3" xfId="0" applyNumberFormat="1" applyFont="1" applyFill="1" applyBorder="1" applyAlignment="1">
      <alignment horizontal="center"/>
    </xf>
    <xf numFmtId="1" fontId="19" fillId="4" borderId="3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1" fontId="0" fillId="4" borderId="3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22" fillId="0" borderId="6" xfId="0" applyNumberFormat="1" applyFont="1" applyBorder="1" applyAlignment="1"/>
    <xf numFmtId="1" fontId="22" fillId="0" borderId="8" xfId="0" applyNumberFormat="1" applyFont="1" applyBorder="1" applyAlignment="1"/>
    <xf numFmtId="1" fontId="22" fillId="0" borderId="9" xfId="0" applyNumberFormat="1" applyFont="1" applyBorder="1" applyAlignment="1"/>
    <xf numFmtId="1" fontId="22" fillId="0" borderId="10" xfId="0" applyNumberFormat="1" applyFont="1" applyBorder="1" applyAlignment="1"/>
    <xf numFmtId="1" fontId="0" fillId="4" borderId="3" xfId="0" applyNumberFormat="1" applyFill="1" applyBorder="1" applyAlignment="1">
      <alignment horizontal="center" vertical="center" wrapText="1"/>
    </xf>
    <xf numFmtId="1" fontId="0" fillId="4" borderId="3" xfId="0" applyNumberFormat="1" applyFill="1" applyBorder="1" applyAlignment="1">
      <alignment horizontal="center" vertical="center" wrapText="1"/>
    </xf>
    <xf numFmtId="1" fontId="19" fillId="4" borderId="3" xfId="0" applyNumberFormat="1" applyFont="1" applyFill="1" applyBorder="1" applyAlignment="1">
      <alignment horizontal="center"/>
    </xf>
    <xf numFmtId="1" fontId="19" fillId="4" borderId="3" xfId="0" applyNumberFormat="1" applyFont="1" applyFill="1" applyBorder="1" applyAlignment="1">
      <alignment horizontal="center" vertical="center"/>
    </xf>
    <xf numFmtId="1" fontId="20" fillId="4" borderId="3" xfId="0" applyNumberFormat="1" applyFont="1" applyFill="1" applyBorder="1" applyAlignment="1">
      <alignment horizontal="center"/>
    </xf>
    <xf numFmtId="1" fontId="19" fillId="4" borderId="3" xfId="0" applyNumberFormat="1" applyFont="1" applyFill="1" applyBorder="1" applyAlignment="1">
      <alignment horizontal="center"/>
    </xf>
    <xf numFmtId="1" fontId="19" fillId="4" borderId="3" xfId="0" applyNumberFormat="1" applyFont="1" applyFill="1" applyBorder="1" applyAlignment="1">
      <alignment horizontal="center" vertical="center"/>
    </xf>
    <xf numFmtId="1" fontId="22" fillId="0" borderId="1" xfId="0" applyNumberFormat="1" applyFont="1" applyBorder="1" applyAlignment="1">
      <alignment vertical="center" wrapText="1"/>
    </xf>
    <xf numFmtId="1" fontId="22" fillId="0" borderId="1" xfId="0" applyNumberFormat="1" applyFont="1" applyBorder="1" applyAlignment="1">
      <alignment vertical="center"/>
    </xf>
    <xf numFmtId="1" fontId="17" fillId="4" borderId="3" xfId="0" applyNumberFormat="1" applyFont="1" applyFill="1" applyBorder="1" applyAlignment="1">
      <alignment horizontal="center"/>
    </xf>
    <xf numFmtId="1" fontId="24" fillId="4" borderId="3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Border="1" applyAlignment="1">
      <alignment vertical="center" wrapText="1"/>
    </xf>
    <xf numFmtId="1" fontId="17" fillId="4" borderId="3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/>
    </xf>
    <xf numFmtId="0" fontId="18" fillId="4" borderId="1" xfId="0" applyFont="1" applyFill="1" applyBorder="1" applyAlignment="1">
      <alignment horizontal="center"/>
    </xf>
    <xf numFmtId="1" fontId="24" fillId="3" borderId="3" xfId="0" applyNumberFormat="1" applyFont="1" applyFill="1" applyBorder="1" applyAlignment="1">
      <alignment horizontal="center"/>
    </xf>
    <xf numFmtId="1" fontId="25" fillId="0" borderId="1" xfId="0" applyNumberFormat="1" applyFont="1" applyBorder="1" applyAlignment="1">
      <alignment vertical="center"/>
    </xf>
    <xf numFmtId="1" fontId="24" fillId="3" borderId="3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left"/>
    </xf>
    <xf numFmtId="1" fontId="20" fillId="0" borderId="1" xfId="0" applyNumberFormat="1" applyFont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1" fontId="22" fillId="0" borderId="1" xfId="0" applyNumberFormat="1" applyFont="1" applyBorder="1" applyAlignment="1"/>
    <xf numFmtId="1" fontId="22" fillId="4" borderId="1" xfId="0" applyNumberFormat="1" applyFont="1" applyFill="1" applyBorder="1" applyAlignment="1"/>
    <xf numFmtId="1" fontId="19" fillId="4" borderId="3" xfId="0" applyNumberFormat="1" applyFont="1" applyFill="1" applyBorder="1" applyAlignment="1">
      <alignment horizontal="center"/>
    </xf>
    <xf numFmtId="1" fontId="19" fillId="4" borderId="3" xfId="0" applyNumberFormat="1" applyFont="1" applyFill="1" applyBorder="1" applyAlignment="1">
      <alignment horizontal="center" vertical="center"/>
    </xf>
    <xf numFmtId="1" fontId="16" fillId="4" borderId="3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/>
    </xf>
    <xf numFmtId="0" fontId="27" fillId="4" borderId="1" xfId="0" applyFont="1" applyFill="1" applyBorder="1" applyAlignment="1">
      <alignment horizontal="left" vertical="center"/>
    </xf>
    <xf numFmtId="0" fontId="29" fillId="4" borderId="1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left" vertical="center"/>
    </xf>
    <xf numFmtId="0" fontId="27" fillId="4" borderId="1" xfId="0" applyFont="1" applyFill="1" applyBorder="1" applyAlignment="1">
      <alignment vertical="center"/>
    </xf>
    <xf numFmtId="0" fontId="27" fillId="4" borderId="1" xfId="0" applyFont="1" applyFill="1" applyBorder="1" applyAlignment="1">
      <alignment horizontal="left"/>
    </xf>
    <xf numFmtId="1" fontId="16" fillId="4" borderId="3" xfId="0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 vertical="center" wrapText="1"/>
    </xf>
    <xf numFmtId="1" fontId="19" fillId="4" borderId="3" xfId="0" applyNumberFormat="1" applyFont="1" applyFill="1" applyBorder="1" applyAlignment="1">
      <alignment horizontal="center"/>
    </xf>
    <xf numFmtId="1" fontId="19" fillId="4" borderId="3" xfId="0" applyNumberFormat="1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left" vertical="center"/>
    </xf>
    <xf numFmtId="0" fontId="28" fillId="4" borderId="1" xfId="0" applyFont="1" applyFill="1" applyBorder="1" applyAlignment="1">
      <alignment horizontal="center" vertical="center"/>
    </xf>
    <xf numFmtId="1" fontId="15" fillId="4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1" fontId="17" fillId="4" borderId="4" xfId="0" applyNumberFormat="1" applyFont="1" applyFill="1" applyBorder="1" applyAlignment="1">
      <alignment horizontal="center" vertical="center" wrapText="1"/>
    </xf>
    <xf numFmtId="0" fontId="28" fillId="4" borderId="1" xfId="2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left" vertical="center" wrapText="1"/>
    </xf>
    <xf numFmtId="1" fontId="19" fillId="4" borderId="3" xfId="0" applyNumberFormat="1" applyFont="1" applyFill="1" applyBorder="1" applyAlignment="1">
      <alignment horizontal="center"/>
    </xf>
    <xf numFmtId="1" fontId="14" fillId="4" borderId="3" xfId="0" applyNumberFormat="1" applyFont="1" applyFill="1" applyBorder="1" applyAlignment="1">
      <alignment horizontal="center" vertical="center" wrapText="1"/>
    </xf>
    <xf numFmtId="1" fontId="14" fillId="4" borderId="3" xfId="0" applyNumberFormat="1" applyFont="1" applyFill="1" applyBorder="1" applyAlignment="1">
      <alignment horizontal="center"/>
    </xf>
    <xf numFmtId="1" fontId="13" fillId="4" borderId="3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vertical="center" wrapText="1"/>
    </xf>
    <xf numFmtId="1" fontId="0" fillId="4" borderId="1" xfId="0" applyNumberFormat="1" applyFill="1" applyBorder="1" applyAlignment="1"/>
    <xf numFmtId="1" fontId="20" fillId="0" borderId="1" xfId="0" applyNumberFormat="1" applyFont="1" applyBorder="1" applyAlignment="1"/>
    <xf numFmtId="0" fontId="18" fillId="4" borderId="1" xfId="0" applyFont="1" applyFill="1" applyBorder="1" applyAlignment="1">
      <alignment vertical="center"/>
    </xf>
    <xf numFmtId="0" fontId="0" fillId="4" borderId="1" xfId="0" applyFill="1" applyBorder="1" applyAlignment="1"/>
    <xf numFmtId="1" fontId="0" fillId="0" borderId="1" xfId="0" applyNumberFormat="1" applyBorder="1" applyAlignment="1">
      <alignment vertical="center"/>
    </xf>
    <xf numFmtId="1" fontId="19" fillId="4" borderId="3" xfId="0" applyNumberFormat="1" applyFont="1" applyFill="1" applyBorder="1" applyAlignment="1">
      <alignment horizontal="center"/>
    </xf>
    <xf numFmtId="1" fontId="19" fillId="4" borderId="3" xfId="0" applyNumberFormat="1" applyFont="1" applyFill="1" applyBorder="1" applyAlignment="1">
      <alignment horizontal="center" vertical="center"/>
    </xf>
    <xf numFmtId="1" fontId="17" fillId="4" borderId="3" xfId="0" applyNumberFormat="1" applyFont="1" applyFill="1" applyBorder="1" applyAlignment="1">
      <alignment horizontal="center" vertical="center" wrapText="1"/>
    </xf>
    <xf numFmtId="1" fontId="19" fillId="4" borderId="3" xfId="0" applyNumberFormat="1" applyFont="1" applyFill="1" applyBorder="1" applyAlignment="1">
      <alignment horizontal="center"/>
    </xf>
    <xf numFmtId="1" fontId="19" fillId="4" borderId="3" xfId="0" applyNumberFormat="1" applyFont="1" applyFill="1" applyBorder="1" applyAlignment="1">
      <alignment horizontal="center" vertical="center"/>
    </xf>
    <xf numFmtId="1" fontId="12" fillId="4" borderId="3" xfId="0" applyNumberFormat="1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/>
    </xf>
    <xf numFmtId="1" fontId="0" fillId="5" borderId="1" xfId="0" applyNumberForma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" fontId="0" fillId="6" borderId="1" xfId="0" applyNumberFormat="1" applyFill="1" applyBorder="1" applyAlignment="1">
      <alignment horizontal="center" vertical="center" wrapText="1"/>
    </xf>
    <xf numFmtId="1" fontId="17" fillId="4" borderId="4" xfId="0" applyNumberFormat="1" applyFont="1" applyFill="1" applyBorder="1" applyAlignment="1">
      <alignment vertical="center" wrapText="1"/>
    </xf>
    <xf numFmtId="1" fontId="22" fillId="4" borderId="6" xfId="0" applyNumberFormat="1" applyFont="1" applyFill="1" applyBorder="1" applyAlignment="1"/>
    <xf numFmtId="1" fontId="22" fillId="4" borderId="8" xfId="0" applyNumberFormat="1" applyFont="1" applyFill="1" applyBorder="1" applyAlignment="1"/>
    <xf numFmtId="1" fontId="24" fillId="4" borderId="3" xfId="0" applyNumberFormat="1" applyFont="1" applyFill="1" applyBorder="1" applyAlignment="1">
      <alignment horizontal="center"/>
    </xf>
    <xf numFmtId="1" fontId="26" fillId="4" borderId="6" xfId="0" applyNumberFormat="1" applyFont="1" applyFill="1" applyBorder="1" applyAlignment="1"/>
    <xf numFmtId="1" fontId="26" fillId="4" borderId="8" xfId="0" applyNumberFormat="1" applyFont="1" applyFill="1" applyBorder="1" applyAlignment="1"/>
    <xf numFmtId="1" fontId="11" fillId="0" borderId="1" xfId="0" applyNumberFormat="1" applyFont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1" fontId="26" fillId="4" borderId="1" xfId="0" applyNumberFormat="1" applyFont="1" applyFill="1" applyBorder="1" applyAlignment="1"/>
    <xf numFmtId="1" fontId="11" fillId="4" borderId="3" xfId="0" applyNumberFormat="1" applyFont="1" applyFill="1" applyBorder="1" applyAlignment="1">
      <alignment horizontal="center" wrapText="1"/>
    </xf>
    <xf numFmtId="1" fontId="11" fillId="4" borderId="3" xfId="0" applyNumberFormat="1" applyFont="1" applyFill="1" applyBorder="1" applyAlignment="1">
      <alignment horizontal="center"/>
    </xf>
    <xf numFmtId="1" fontId="25" fillId="4" borderId="1" xfId="0" applyNumberFormat="1" applyFont="1" applyFill="1" applyBorder="1" applyAlignment="1">
      <alignment vertical="center"/>
    </xf>
    <xf numFmtId="1" fontId="22" fillId="4" borderId="1" xfId="0" applyNumberFormat="1" applyFont="1" applyFill="1" applyBorder="1" applyAlignment="1">
      <alignment vertical="center"/>
    </xf>
    <xf numFmtId="1" fontId="11" fillId="4" borderId="3" xfId="0" applyNumberFormat="1" applyFont="1" applyFill="1" applyBorder="1" applyAlignment="1">
      <alignment horizontal="center" vertical="center" wrapText="1"/>
    </xf>
    <xf numFmtId="1" fontId="19" fillId="4" borderId="3" xfId="0" applyNumberFormat="1" applyFont="1" applyFill="1" applyBorder="1" applyAlignment="1">
      <alignment horizontal="center"/>
    </xf>
    <xf numFmtId="1" fontId="19" fillId="4" borderId="3" xfId="0" applyNumberFormat="1" applyFont="1" applyFill="1" applyBorder="1" applyAlignment="1">
      <alignment horizontal="center" vertical="center"/>
    </xf>
    <xf numFmtId="1" fontId="19" fillId="4" borderId="3" xfId="0" applyNumberFormat="1" applyFont="1" applyFill="1" applyBorder="1" applyAlignment="1">
      <alignment horizontal="center"/>
    </xf>
    <xf numFmtId="1" fontId="19" fillId="4" borderId="3" xfId="0" applyNumberFormat="1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 wrapText="1"/>
    </xf>
    <xf numFmtId="1" fontId="24" fillId="4" borderId="3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5" borderId="3" xfId="0" applyNumberFormat="1" applyFont="1" applyFill="1" applyBorder="1" applyAlignment="1">
      <alignment horizontal="center" vertical="center" wrapText="1"/>
    </xf>
    <xf numFmtId="1" fontId="28" fillId="5" borderId="3" xfId="0" applyNumberFormat="1" applyFont="1" applyFill="1" applyBorder="1" applyAlignment="1">
      <alignment horizontal="center"/>
    </xf>
    <xf numFmtId="1" fontId="21" fillId="5" borderId="3" xfId="0" applyNumberFormat="1" applyFont="1" applyFill="1" applyBorder="1" applyAlignment="1">
      <alignment horizontal="center"/>
    </xf>
    <xf numFmtId="1" fontId="11" fillId="5" borderId="3" xfId="0" applyNumberFormat="1" applyFont="1" applyFill="1" applyBorder="1" applyAlignment="1">
      <alignment horizontal="center"/>
    </xf>
    <xf numFmtId="1" fontId="19" fillId="5" borderId="3" xfId="0" applyNumberFormat="1" applyFon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" fontId="19" fillId="5" borderId="3" xfId="0" applyNumberFormat="1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left" vertical="center"/>
    </xf>
    <xf numFmtId="0" fontId="27" fillId="4" borderId="4" xfId="0" applyFont="1" applyFill="1" applyBorder="1" applyAlignment="1">
      <alignment vertical="center"/>
    </xf>
    <xf numFmtId="0" fontId="29" fillId="4" borderId="2" xfId="0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1" fontId="24" fillId="4" borderId="3" xfId="0" applyNumberFormat="1" applyFont="1" applyFill="1" applyBorder="1" applyAlignment="1">
      <alignment horizontal="center" vertical="center" wrapText="1"/>
    </xf>
    <xf numFmtId="1" fontId="19" fillId="4" borderId="3" xfId="0" applyNumberFormat="1" applyFont="1" applyFill="1" applyBorder="1" applyAlignment="1">
      <alignment horizontal="center"/>
    </xf>
    <xf numFmtId="1" fontId="19" fillId="4" borderId="3" xfId="0" applyNumberFormat="1" applyFont="1" applyFill="1" applyBorder="1" applyAlignment="1">
      <alignment horizontal="center" vertical="center"/>
    </xf>
    <xf numFmtId="1" fontId="19" fillId="4" borderId="3" xfId="0" applyNumberFormat="1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left"/>
    </xf>
    <xf numFmtId="1" fontId="24" fillId="4" borderId="3" xfId="0" applyNumberFormat="1" applyFont="1" applyFill="1" applyBorder="1" applyAlignment="1">
      <alignment horizontal="center" vertical="center" wrapText="1"/>
    </xf>
    <xf numFmtId="1" fontId="19" fillId="4" borderId="3" xfId="0" applyNumberFormat="1" applyFont="1" applyFill="1" applyBorder="1" applyAlignment="1">
      <alignment horizontal="center"/>
    </xf>
    <xf numFmtId="1" fontId="19" fillId="4" borderId="3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24" fillId="4" borderId="3" xfId="0" applyNumberFormat="1" applyFont="1" applyFill="1" applyBorder="1" applyAlignment="1">
      <alignment horizontal="center" vertical="center" wrapText="1"/>
    </xf>
    <xf numFmtId="1" fontId="19" fillId="4" borderId="3" xfId="0" applyNumberFormat="1" applyFont="1" applyFill="1" applyBorder="1" applyAlignment="1">
      <alignment horizontal="center"/>
    </xf>
    <xf numFmtId="1" fontId="24" fillId="4" borderId="3" xfId="0" applyNumberFormat="1" applyFont="1" applyFill="1" applyBorder="1" applyAlignment="1">
      <alignment horizontal="center" vertical="center" wrapText="1"/>
    </xf>
    <xf numFmtId="1" fontId="19" fillId="4" borderId="3" xfId="0" applyNumberFormat="1" applyFont="1" applyFill="1" applyBorder="1" applyAlignment="1">
      <alignment horizontal="center"/>
    </xf>
    <xf numFmtId="1" fontId="17" fillId="4" borderId="3" xfId="0" applyNumberFormat="1" applyFont="1" applyFill="1" applyBorder="1" applyAlignment="1">
      <alignment horizontal="center" vertical="center" wrapText="1"/>
    </xf>
    <xf numFmtId="1" fontId="17" fillId="4" borderId="4" xfId="0" applyNumberFormat="1" applyFont="1" applyFill="1" applyBorder="1" applyAlignment="1">
      <alignment horizontal="center" vertical="center" wrapText="1"/>
    </xf>
    <xf numFmtId="1" fontId="19" fillId="4" borderId="3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 wrapText="1"/>
    </xf>
    <xf numFmtId="1" fontId="19" fillId="4" borderId="3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 vertical="center" wrapText="1"/>
    </xf>
    <xf numFmtId="1" fontId="28" fillId="4" borderId="1" xfId="0" applyNumberFormat="1" applyFont="1" applyFill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1" fontId="16" fillId="4" borderId="1" xfId="0" applyNumberFormat="1" applyFont="1" applyFill="1" applyBorder="1" applyAlignment="1">
      <alignment horizontal="center" vertical="center" wrapText="1"/>
    </xf>
    <xf numFmtId="1" fontId="19" fillId="4" borderId="3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1" fontId="4" fillId="5" borderId="3" xfId="0" applyNumberFormat="1" applyFont="1" applyFill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/>
    </xf>
    <xf numFmtId="1" fontId="0" fillId="5" borderId="3" xfId="0" applyNumberFormat="1" applyFill="1" applyBorder="1" applyAlignment="1">
      <alignment horizontal="center" vertical="center" wrapText="1"/>
    </xf>
    <xf numFmtId="1" fontId="28" fillId="4" borderId="3" xfId="0" quotePrefix="1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 wrapText="1"/>
    </xf>
    <xf numFmtId="1" fontId="26" fillId="4" borderId="1" xfId="0" applyNumberFormat="1" applyFont="1" applyFill="1" applyBorder="1" applyAlignment="1">
      <alignment vertical="center"/>
    </xf>
    <xf numFmtId="1" fontId="3" fillId="4" borderId="3" xfId="0" applyNumberFormat="1" applyFont="1" applyFill="1" applyBorder="1" applyAlignment="1">
      <alignment horizontal="center" vertical="center"/>
    </xf>
    <xf numFmtId="1" fontId="19" fillId="4" borderId="3" xfId="0" applyNumberFormat="1" applyFont="1" applyFill="1" applyBorder="1" applyAlignment="1">
      <alignment horizontal="center"/>
    </xf>
    <xf numFmtId="1" fontId="19" fillId="4" borderId="3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center" vertical="center"/>
    </xf>
    <xf numFmtId="1" fontId="28" fillId="4" borderId="3" xfId="0" applyNumberFormat="1" applyFont="1" applyFill="1" applyBorder="1" applyAlignment="1">
      <alignment horizontal="center"/>
    </xf>
    <xf numFmtId="1" fontId="24" fillId="4" borderId="3" xfId="0" applyNumberFormat="1" applyFont="1" applyFill="1" applyBorder="1" applyAlignment="1">
      <alignment horizontal="center" vertical="center" wrapText="1"/>
    </xf>
    <xf numFmtId="1" fontId="19" fillId="4" borderId="3" xfId="0" applyNumberFormat="1" applyFont="1" applyFill="1" applyBorder="1" applyAlignment="1">
      <alignment horizontal="center"/>
    </xf>
    <xf numFmtId="1" fontId="17" fillId="4" borderId="3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 wrapText="1"/>
    </xf>
    <xf numFmtId="1" fontId="0" fillId="4" borderId="4" xfId="0" applyNumberFormat="1" applyFill="1" applyBorder="1" applyAlignment="1">
      <alignment horizontal="center" wrapText="1"/>
    </xf>
    <xf numFmtId="1" fontId="19" fillId="4" borderId="3" xfId="0" applyNumberFormat="1" applyFont="1" applyFill="1" applyBorder="1" applyAlignment="1">
      <alignment horizontal="center"/>
    </xf>
    <xf numFmtId="1" fontId="28" fillId="4" borderId="3" xfId="0" applyNumberFormat="1" applyFont="1" applyFill="1" applyBorder="1" applyAlignment="1">
      <alignment horizontal="center"/>
    </xf>
    <xf numFmtId="1" fontId="19" fillId="4" borderId="3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4" borderId="3" xfId="0" applyNumberFormat="1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 wrapText="1"/>
    </xf>
    <xf numFmtId="1" fontId="7" fillId="4" borderId="3" xfId="0" applyNumberFormat="1" applyFont="1" applyFill="1" applyBorder="1" applyAlignment="1">
      <alignment horizontal="center" vertical="center" wrapText="1"/>
    </xf>
    <xf numFmtId="1" fontId="8" fillId="4" borderId="3" xfId="0" applyNumberFormat="1" applyFont="1" applyFill="1" applyBorder="1" applyAlignment="1">
      <alignment horizontal="center" vertical="center" wrapText="1"/>
    </xf>
    <xf numFmtId="1" fontId="10" fillId="4" borderId="3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1" fontId="22" fillId="0" borderId="5" xfId="0" applyNumberFormat="1" applyFont="1" applyBorder="1" applyAlignment="1">
      <alignment horizontal="center"/>
    </xf>
    <xf numFmtId="1" fontId="22" fillId="0" borderId="6" xfId="0" applyNumberFormat="1" applyFont="1" applyBorder="1" applyAlignment="1">
      <alignment horizontal="center"/>
    </xf>
    <xf numFmtId="1" fontId="22" fillId="0" borderId="7" xfId="0" applyNumberFormat="1" applyFont="1" applyBorder="1" applyAlignment="1">
      <alignment horizontal="center"/>
    </xf>
    <xf numFmtId="1" fontId="22" fillId="0" borderId="8" xfId="0" applyNumberFormat="1" applyFont="1" applyBorder="1" applyAlignment="1">
      <alignment horizontal="center"/>
    </xf>
    <xf numFmtId="1" fontId="24" fillId="4" borderId="3" xfId="0" applyNumberFormat="1" applyFont="1" applyFill="1" applyBorder="1" applyAlignment="1">
      <alignment horizontal="center" vertical="center" wrapText="1"/>
    </xf>
    <xf numFmtId="1" fontId="24" fillId="4" borderId="2" xfId="0" applyNumberFormat="1" applyFont="1" applyFill="1" applyBorder="1" applyAlignment="1">
      <alignment horizontal="center" vertical="center" wrapText="1"/>
    </xf>
    <xf numFmtId="1" fontId="19" fillId="4" borderId="1" xfId="0" applyNumberFormat="1" applyFont="1" applyFill="1" applyBorder="1" applyAlignment="1">
      <alignment horizontal="center"/>
    </xf>
    <xf numFmtId="1" fontId="19" fillId="4" borderId="3" xfId="0" applyNumberFormat="1" applyFont="1" applyFill="1" applyBorder="1" applyAlignment="1">
      <alignment horizontal="center"/>
    </xf>
    <xf numFmtId="1" fontId="19" fillId="4" borderId="4" xfId="0" applyNumberFormat="1" applyFont="1" applyFill="1" applyBorder="1" applyAlignment="1">
      <alignment horizontal="center"/>
    </xf>
    <xf numFmtId="1" fontId="19" fillId="4" borderId="2" xfId="0" applyNumberFormat="1" applyFont="1" applyFill="1" applyBorder="1" applyAlignment="1">
      <alignment horizontal="center"/>
    </xf>
    <xf numFmtId="1" fontId="17" fillId="4" borderId="3" xfId="0" applyNumberFormat="1" applyFont="1" applyFill="1" applyBorder="1" applyAlignment="1">
      <alignment horizontal="center" vertical="center" wrapText="1"/>
    </xf>
    <xf numFmtId="1" fontId="17" fillId="4" borderId="4" xfId="0" applyNumberFormat="1" applyFont="1" applyFill="1" applyBorder="1" applyAlignment="1">
      <alignment horizontal="center" vertical="center" wrapText="1"/>
    </xf>
    <xf numFmtId="1" fontId="17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/>
    </xf>
    <xf numFmtId="1" fontId="28" fillId="4" borderId="2" xfId="0" applyNumberFormat="1" applyFont="1" applyFill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1" fontId="19" fillId="0" borderId="2" xfId="0" applyNumberFormat="1" applyFont="1" applyBorder="1" applyAlignment="1">
      <alignment horizontal="center"/>
    </xf>
    <xf numFmtId="1" fontId="22" fillId="0" borderId="9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11" fillId="4" borderId="3" xfId="0" applyNumberFormat="1" applyFont="1" applyFill="1" applyBorder="1" applyAlignment="1">
      <alignment horizontal="center" wrapText="1"/>
    </xf>
    <xf numFmtId="1" fontId="11" fillId="4" borderId="2" xfId="0" applyNumberFormat="1" applyFont="1" applyFill="1" applyBorder="1" applyAlignment="1">
      <alignment horizontal="center" wrapText="1"/>
    </xf>
    <xf numFmtId="1" fontId="0" fillId="0" borderId="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 wrapText="1"/>
    </xf>
    <xf numFmtId="1" fontId="0" fillId="4" borderId="4" xfId="0" applyNumberFormat="1" applyFill="1" applyBorder="1" applyAlignment="1">
      <alignment horizontal="center" wrapText="1"/>
    </xf>
    <xf numFmtId="1" fontId="0" fillId="4" borderId="2" xfId="0" applyNumberFormat="1" applyFill="1" applyBorder="1" applyAlignment="1">
      <alignment horizontal="center" wrapText="1"/>
    </xf>
    <xf numFmtId="1" fontId="19" fillId="0" borderId="3" xfId="0" applyNumberFormat="1" applyFont="1" applyBorder="1" applyAlignment="1">
      <alignment horizontal="center" vertical="center"/>
    </xf>
    <xf numFmtId="1" fontId="19" fillId="0" borderId="4" xfId="0" applyNumberFormat="1" applyFont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1" fontId="19" fillId="4" borderId="3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22" fillId="0" borderId="5" xfId="0" applyNumberFormat="1" applyFont="1" applyBorder="1" applyAlignment="1">
      <alignment horizontal="center" vertical="center"/>
    </xf>
    <xf numFmtId="1" fontId="22" fillId="0" borderId="6" xfId="0" applyNumberFormat="1" applyFont="1" applyBorder="1" applyAlignment="1">
      <alignment horizontal="center" vertical="center"/>
    </xf>
    <xf numFmtId="1" fontId="22" fillId="0" borderId="7" xfId="0" applyNumberFormat="1" applyFont="1" applyBorder="1" applyAlignment="1">
      <alignment horizontal="center" vertical="center"/>
    </xf>
    <xf numFmtId="1" fontId="22" fillId="0" borderId="8" xfId="0" applyNumberFormat="1" applyFont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left"/>
    </xf>
  </cellXfs>
  <cellStyles count="3">
    <cellStyle name="Normal" xfId="0" builtinId="0"/>
    <cellStyle name="Normal_Reitings 2 2004" xfId="2" xr:uid="{00000000-0005-0000-0000-000001000000}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0"/>
  <sheetViews>
    <sheetView tabSelected="1" zoomScale="106" zoomScaleNormal="106" workbookViewId="0">
      <pane xSplit="4" ySplit="4" topLeftCell="E5" activePane="bottomRight" state="frozen"/>
      <selection pane="topRight" activeCell="E1" sqref="E1"/>
      <selection pane="bottomLeft" activeCell="A3" sqref="A3"/>
      <selection pane="bottomRight" activeCell="D6" sqref="D5:D6"/>
    </sheetView>
  </sheetViews>
  <sheetFormatPr defaultRowHeight="15" x14ac:dyDescent="0.25"/>
  <cols>
    <col min="1" max="1" width="22.85546875" style="11" bestFit="1" customWidth="1"/>
    <col min="2" max="2" width="21.85546875" style="11" bestFit="1" customWidth="1"/>
    <col min="3" max="3" width="8.140625" style="3" bestFit="1" customWidth="1"/>
    <col min="4" max="4" width="12.28515625" style="47" customWidth="1"/>
    <col min="5" max="7" width="12.85546875" style="101" customWidth="1"/>
    <col min="8" max="8" width="3.85546875" style="101" customWidth="1"/>
    <col min="9" max="9" width="12.85546875" style="101" customWidth="1"/>
    <col min="10" max="14" width="11.140625" style="101" customWidth="1"/>
    <col min="15" max="16" width="9.140625" style="3"/>
    <col min="17" max="17" width="3.85546875" style="101" customWidth="1"/>
    <col min="18" max="18" width="8.85546875" style="41" customWidth="1"/>
    <col min="19" max="19" width="11" style="41" customWidth="1"/>
    <col min="20" max="23" width="9.5703125" style="41" customWidth="1"/>
    <col min="24" max="24" width="8.85546875" style="13" customWidth="1"/>
    <col min="25" max="25" width="10.85546875" style="3" customWidth="1"/>
    <col min="26" max="16384" width="9.140625" style="3"/>
  </cols>
  <sheetData>
    <row r="1" spans="1:27" ht="15" customHeight="1" x14ac:dyDescent="0.25">
      <c r="A1" s="192" t="s">
        <v>35</v>
      </c>
      <c r="B1" s="193"/>
      <c r="C1" s="40"/>
      <c r="D1" s="48"/>
      <c r="E1" s="109"/>
      <c r="F1" s="109"/>
      <c r="G1" s="109"/>
      <c r="H1" s="109"/>
      <c r="I1" s="109"/>
      <c r="J1" s="109"/>
      <c r="K1" s="109"/>
      <c r="L1" s="109"/>
      <c r="M1" s="109"/>
      <c r="N1" s="109"/>
      <c r="Q1" s="109"/>
      <c r="R1" s="43"/>
      <c r="S1" s="43"/>
      <c r="T1" s="43"/>
      <c r="U1" s="43"/>
      <c r="V1" s="43"/>
      <c r="W1" s="43"/>
      <c r="X1" s="39"/>
    </row>
    <row r="2" spans="1:27" ht="15" customHeight="1" x14ac:dyDescent="0.25">
      <c r="A2" s="194"/>
      <c r="B2" s="195"/>
      <c r="C2" s="40"/>
      <c r="D2" s="48"/>
      <c r="E2" s="109"/>
      <c r="F2" s="109"/>
      <c r="G2" s="109"/>
      <c r="H2" s="109"/>
      <c r="I2" s="109"/>
      <c r="J2" s="109"/>
      <c r="K2" s="109"/>
      <c r="L2" s="109"/>
      <c r="M2" s="109"/>
      <c r="N2" s="109"/>
      <c r="Q2" s="109"/>
      <c r="R2" s="43"/>
      <c r="S2" s="43"/>
      <c r="T2" s="43"/>
      <c r="U2" s="43"/>
      <c r="V2" s="43"/>
      <c r="W2" s="43"/>
      <c r="X2" s="39"/>
    </row>
    <row r="3" spans="1:27" s="5" customFormat="1" x14ac:dyDescent="0.25">
      <c r="A3" s="10"/>
      <c r="B3" s="10"/>
      <c r="D3" s="42"/>
      <c r="E3" s="174"/>
      <c r="F3" s="196">
        <v>2024</v>
      </c>
      <c r="G3" s="197"/>
      <c r="H3" s="143"/>
      <c r="I3" s="138"/>
      <c r="J3" s="132"/>
      <c r="K3" s="117"/>
      <c r="L3" s="42">
        <v>2023</v>
      </c>
      <c r="M3" s="42"/>
      <c r="N3" s="42"/>
      <c r="Q3" s="42"/>
      <c r="R3" s="196">
        <v>2022</v>
      </c>
      <c r="S3" s="197"/>
      <c r="T3" s="42"/>
      <c r="U3" s="42"/>
      <c r="V3" s="42"/>
      <c r="W3" s="42"/>
      <c r="X3" s="33"/>
    </row>
    <row r="4" spans="1:27" s="5" customFormat="1" ht="107.25" customHeight="1" x14ac:dyDescent="0.25">
      <c r="A4" s="5" t="s">
        <v>1</v>
      </c>
      <c r="B4" s="10" t="s">
        <v>2</v>
      </c>
      <c r="C4" s="5" t="s">
        <v>3</v>
      </c>
      <c r="D4" s="49" t="s">
        <v>886</v>
      </c>
      <c r="E4" s="184" t="s">
        <v>885</v>
      </c>
      <c r="F4" s="129" t="s">
        <v>293</v>
      </c>
      <c r="G4" s="150" t="s">
        <v>4</v>
      </c>
      <c r="H4" s="143"/>
      <c r="I4" s="141" t="s">
        <v>395</v>
      </c>
      <c r="J4" s="136" t="s">
        <v>229</v>
      </c>
      <c r="K4" s="129" t="s">
        <v>293</v>
      </c>
      <c r="L4" s="116" t="s">
        <v>4</v>
      </c>
      <c r="M4" s="105" t="s">
        <v>549</v>
      </c>
      <c r="N4" s="95" t="s">
        <v>5</v>
      </c>
      <c r="O4" s="96" t="s">
        <v>765</v>
      </c>
      <c r="P4" s="97" t="s">
        <v>547</v>
      </c>
      <c r="Q4" s="42"/>
      <c r="R4" s="44" t="s">
        <v>4</v>
      </c>
      <c r="S4" s="59" t="s">
        <v>62</v>
      </c>
      <c r="T4" s="73" t="s">
        <v>229</v>
      </c>
      <c r="U4" s="79" t="s">
        <v>293</v>
      </c>
      <c r="V4" s="81" t="s">
        <v>395</v>
      </c>
      <c r="W4" s="93" t="s">
        <v>466</v>
      </c>
      <c r="X4" s="33" t="s">
        <v>34</v>
      </c>
      <c r="Y4" s="95" t="s">
        <v>5</v>
      </c>
      <c r="Z4" s="96" t="s">
        <v>546</v>
      </c>
      <c r="AA4" s="97" t="s">
        <v>547</v>
      </c>
    </row>
    <row r="5" spans="1:27" s="5" customFormat="1" x14ac:dyDescent="0.25">
      <c r="A5" s="191" t="s">
        <v>892</v>
      </c>
      <c r="B5" s="10"/>
      <c r="D5" s="49"/>
      <c r="E5" s="185"/>
      <c r="F5" s="186"/>
      <c r="G5" s="187"/>
      <c r="H5" s="174"/>
      <c r="I5" s="188"/>
      <c r="J5" s="189"/>
      <c r="K5" s="186"/>
      <c r="L5" s="190"/>
      <c r="M5" s="111"/>
      <c r="N5" s="161"/>
      <c r="O5" s="96"/>
      <c r="P5" s="97"/>
      <c r="Q5" s="174"/>
      <c r="R5" s="176"/>
      <c r="S5" s="59"/>
      <c r="T5" s="73"/>
      <c r="U5" s="79"/>
      <c r="V5" s="81"/>
      <c r="W5" s="93"/>
      <c r="X5" s="33"/>
      <c r="Y5" s="95"/>
      <c r="Z5" s="96"/>
      <c r="AA5" s="97"/>
    </row>
    <row r="6" spans="1:27" x14ac:dyDescent="0.25">
      <c r="A6" s="45" t="s">
        <v>455</v>
      </c>
      <c r="B6" s="66" t="s">
        <v>409</v>
      </c>
      <c r="C6" s="46">
        <v>2018</v>
      </c>
      <c r="D6" s="47">
        <f t="shared" ref="D6:D35" si="0">P6+G6+F6+E6</f>
        <v>0</v>
      </c>
      <c r="E6" s="108"/>
      <c r="F6" s="108"/>
      <c r="G6" s="108"/>
      <c r="I6" s="108"/>
      <c r="J6" s="108"/>
      <c r="K6" s="108"/>
      <c r="L6" s="108"/>
      <c r="M6" s="108">
        <f>AA6</f>
        <v>0</v>
      </c>
      <c r="N6" s="122"/>
      <c r="O6" s="3">
        <f t="shared" ref="O6:O35" si="1">SUM(I6:M6)</f>
        <v>0</v>
      </c>
      <c r="P6" s="3">
        <f t="shared" ref="P6:P35" si="2">O6</f>
        <v>0</v>
      </c>
      <c r="V6" s="41">
        <f>0</f>
        <v>0</v>
      </c>
      <c r="X6" s="78"/>
      <c r="Z6" s="3">
        <f>SUM(R6:Y6)</f>
        <v>0</v>
      </c>
      <c r="AA6" s="3">
        <f>Z6</f>
        <v>0</v>
      </c>
    </row>
    <row r="7" spans="1:27" x14ac:dyDescent="0.25">
      <c r="A7" s="45" t="s">
        <v>68</v>
      </c>
      <c r="B7" s="66" t="s">
        <v>63</v>
      </c>
      <c r="C7" s="46">
        <v>2017</v>
      </c>
      <c r="D7" s="47">
        <f t="shared" si="0"/>
        <v>30</v>
      </c>
      <c r="E7" s="108"/>
      <c r="F7" s="108"/>
      <c r="G7" s="108"/>
      <c r="I7" s="108">
        <f>0</f>
        <v>0</v>
      </c>
      <c r="J7" s="108"/>
      <c r="K7" s="108"/>
      <c r="L7" s="108"/>
      <c r="M7" s="108">
        <f>AA7</f>
        <v>30</v>
      </c>
      <c r="N7" s="122"/>
      <c r="O7" s="3">
        <f t="shared" si="1"/>
        <v>30</v>
      </c>
      <c r="P7" s="3">
        <f t="shared" si="2"/>
        <v>30</v>
      </c>
      <c r="S7" s="41">
        <v>30</v>
      </c>
      <c r="X7" s="37"/>
      <c r="Z7" s="3">
        <f>SUM(R7:Y7)</f>
        <v>30</v>
      </c>
      <c r="AA7" s="3">
        <f>Z7</f>
        <v>30</v>
      </c>
    </row>
    <row r="8" spans="1:27" x14ac:dyDescent="0.25">
      <c r="A8" s="71" t="s">
        <v>230</v>
      </c>
      <c r="B8" s="66" t="s">
        <v>64</v>
      </c>
      <c r="C8" s="46"/>
      <c r="D8" s="47">
        <f t="shared" si="0"/>
        <v>27</v>
      </c>
      <c r="E8" s="108"/>
      <c r="F8" s="108"/>
      <c r="G8" s="108"/>
      <c r="I8" s="108"/>
      <c r="J8" s="108"/>
      <c r="K8" s="108"/>
      <c r="L8" s="108"/>
      <c r="M8" s="108">
        <f>AA8</f>
        <v>27</v>
      </c>
      <c r="N8" s="122"/>
      <c r="O8" s="3">
        <f t="shared" si="1"/>
        <v>27</v>
      </c>
      <c r="P8" s="3">
        <f t="shared" si="2"/>
        <v>27</v>
      </c>
      <c r="T8" s="41">
        <f>27</f>
        <v>27</v>
      </c>
      <c r="X8" s="57"/>
      <c r="Z8" s="3">
        <f>SUM(R8:Y8)</f>
        <v>27</v>
      </c>
      <c r="AA8" s="3">
        <f>Z8</f>
        <v>27</v>
      </c>
    </row>
    <row r="9" spans="1:27" x14ac:dyDescent="0.25">
      <c r="A9" s="71" t="s">
        <v>607</v>
      </c>
      <c r="B9" s="66" t="s">
        <v>605</v>
      </c>
      <c r="C9" s="46"/>
      <c r="D9" s="47">
        <f t="shared" si="0"/>
        <v>17</v>
      </c>
      <c r="E9" s="108"/>
      <c r="F9" s="108"/>
      <c r="G9" s="108"/>
      <c r="I9" s="108"/>
      <c r="J9" s="108"/>
      <c r="K9" s="108">
        <f>17</f>
        <v>17</v>
      </c>
      <c r="L9" s="108"/>
      <c r="M9" s="108"/>
      <c r="N9" s="122"/>
      <c r="O9" s="3">
        <f t="shared" si="1"/>
        <v>17</v>
      </c>
      <c r="P9" s="3">
        <f t="shared" si="2"/>
        <v>17</v>
      </c>
      <c r="X9" s="114"/>
    </row>
    <row r="10" spans="1:27" x14ac:dyDescent="0.25">
      <c r="A10" s="11" t="s">
        <v>451</v>
      </c>
      <c r="B10" s="11" t="s">
        <v>63</v>
      </c>
      <c r="C10" s="3">
        <v>2017</v>
      </c>
      <c r="D10" s="47">
        <f t="shared" si="0"/>
        <v>5</v>
      </c>
      <c r="E10" s="108"/>
      <c r="F10" s="108"/>
      <c r="G10" s="108"/>
      <c r="I10" s="108"/>
      <c r="J10" s="108"/>
      <c r="K10" s="108"/>
      <c r="L10" s="108"/>
      <c r="M10" s="108">
        <f>AA10</f>
        <v>5</v>
      </c>
      <c r="N10" s="122"/>
      <c r="O10" s="3">
        <f t="shared" si="1"/>
        <v>5</v>
      </c>
      <c r="P10" s="3">
        <f t="shared" si="2"/>
        <v>5</v>
      </c>
      <c r="V10" s="41">
        <f>5</f>
        <v>5</v>
      </c>
      <c r="X10" s="41"/>
      <c r="Y10" s="74"/>
      <c r="Z10" s="3">
        <f>SUM(R10:Y10)</f>
        <v>5</v>
      </c>
      <c r="AA10" s="3">
        <f>Z10</f>
        <v>5</v>
      </c>
    </row>
    <row r="11" spans="1:27" x14ac:dyDescent="0.25">
      <c r="A11" s="11" t="s">
        <v>689</v>
      </c>
      <c r="B11" s="11" t="s">
        <v>36</v>
      </c>
      <c r="C11" s="3">
        <v>2017</v>
      </c>
      <c r="D11" s="47">
        <f t="shared" si="0"/>
        <v>9</v>
      </c>
      <c r="E11" s="108">
        <f>3</f>
        <v>3</v>
      </c>
      <c r="F11" s="108"/>
      <c r="G11" s="108"/>
      <c r="I11" s="108"/>
      <c r="J11" s="108">
        <f>6</f>
        <v>6</v>
      </c>
      <c r="K11" s="108"/>
      <c r="L11" s="108"/>
      <c r="M11" s="108"/>
      <c r="N11" s="122"/>
      <c r="O11" s="3">
        <f t="shared" si="1"/>
        <v>6</v>
      </c>
      <c r="P11" s="3">
        <f t="shared" si="2"/>
        <v>6</v>
      </c>
      <c r="X11" s="41"/>
      <c r="Y11" s="74"/>
    </row>
    <row r="12" spans="1:27" x14ac:dyDescent="0.25">
      <c r="A12" s="11" t="s">
        <v>447</v>
      </c>
      <c r="B12" s="11" t="s">
        <v>0</v>
      </c>
      <c r="C12" s="3">
        <v>2017</v>
      </c>
      <c r="D12" s="47">
        <f t="shared" si="0"/>
        <v>97</v>
      </c>
      <c r="E12" s="108">
        <f>9+3</f>
        <v>12</v>
      </c>
      <c r="F12" s="108"/>
      <c r="G12" s="108">
        <v>15</v>
      </c>
      <c r="I12" s="108">
        <f>3+18</f>
        <v>21</v>
      </c>
      <c r="J12" s="108">
        <f>12</f>
        <v>12</v>
      </c>
      <c r="K12" s="108">
        <f>26</f>
        <v>26</v>
      </c>
      <c r="L12" s="108"/>
      <c r="M12" s="108">
        <f t="shared" ref="M12:M18" si="3">AA12</f>
        <v>11</v>
      </c>
      <c r="N12" s="122"/>
      <c r="O12" s="3">
        <f t="shared" si="1"/>
        <v>70</v>
      </c>
      <c r="P12" s="3">
        <f t="shared" si="2"/>
        <v>70</v>
      </c>
      <c r="V12" s="41">
        <f>11</f>
        <v>11</v>
      </c>
      <c r="X12" s="41"/>
      <c r="Y12" s="74"/>
      <c r="Z12" s="3">
        <f t="shared" ref="Z12:Z18" si="4">SUM(R12:Y12)</f>
        <v>11</v>
      </c>
      <c r="AA12" s="3">
        <f t="shared" ref="AA12:AA18" si="5">Z12</f>
        <v>11</v>
      </c>
    </row>
    <row r="13" spans="1:27" x14ac:dyDescent="0.25">
      <c r="A13" s="11" t="s">
        <v>454</v>
      </c>
      <c r="B13" s="11" t="s">
        <v>63</v>
      </c>
      <c r="C13" s="3">
        <v>2017</v>
      </c>
      <c r="D13" s="47">
        <f t="shared" si="0"/>
        <v>0</v>
      </c>
      <c r="E13" s="108"/>
      <c r="F13" s="108"/>
      <c r="G13" s="108"/>
      <c r="I13" s="108"/>
      <c r="J13" s="108"/>
      <c r="K13" s="108"/>
      <c r="L13" s="108"/>
      <c r="M13" s="108">
        <f t="shared" si="3"/>
        <v>0</v>
      </c>
      <c r="N13" s="122"/>
      <c r="O13" s="3">
        <f t="shared" si="1"/>
        <v>0</v>
      </c>
      <c r="P13" s="3">
        <f t="shared" si="2"/>
        <v>0</v>
      </c>
      <c r="V13" s="41">
        <f>0</f>
        <v>0</v>
      </c>
      <c r="X13" s="41"/>
      <c r="Y13" s="74"/>
      <c r="Z13" s="3">
        <f t="shared" si="4"/>
        <v>0</v>
      </c>
      <c r="AA13" s="3">
        <f t="shared" si="5"/>
        <v>0</v>
      </c>
    </row>
    <row r="14" spans="1:27" x14ac:dyDescent="0.25">
      <c r="A14" s="45" t="s">
        <v>448</v>
      </c>
      <c r="B14" s="66" t="s">
        <v>274</v>
      </c>
      <c r="C14" s="46">
        <v>2017</v>
      </c>
      <c r="D14" s="47">
        <f t="shared" si="0"/>
        <v>30</v>
      </c>
      <c r="E14" s="108"/>
      <c r="F14" s="108"/>
      <c r="G14" s="108"/>
      <c r="I14" s="108"/>
      <c r="J14" s="108"/>
      <c r="K14" s="108">
        <f>12</f>
        <v>12</v>
      </c>
      <c r="L14" s="108"/>
      <c r="M14" s="108">
        <f t="shared" si="3"/>
        <v>18</v>
      </c>
      <c r="N14" s="122"/>
      <c r="O14" s="3">
        <f t="shared" si="1"/>
        <v>30</v>
      </c>
      <c r="P14" s="3">
        <f t="shared" si="2"/>
        <v>30</v>
      </c>
      <c r="V14" s="41">
        <f>9</f>
        <v>9</v>
      </c>
      <c r="W14" s="41">
        <f>9</f>
        <v>9</v>
      </c>
      <c r="Z14" s="3">
        <f t="shared" si="4"/>
        <v>18</v>
      </c>
      <c r="AA14" s="3">
        <f t="shared" si="5"/>
        <v>18</v>
      </c>
    </row>
    <row r="15" spans="1:27" x14ac:dyDescent="0.25">
      <c r="A15" s="71" t="s">
        <v>449</v>
      </c>
      <c r="B15" s="66" t="s">
        <v>63</v>
      </c>
      <c r="C15" s="72">
        <v>2018</v>
      </c>
      <c r="D15" s="47">
        <f t="shared" si="0"/>
        <v>23</v>
      </c>
      <c r="E15" s="108">
        <f>0+3</f>
        <v>3</v>
      </c>
      <c r="F15" s="108">
        <f>6</f>
        <v>6</v>
      </c>
      <c r="G15" s="108"/>
      <c r="I15" s="108">
        <f>6</f>
        <v>6</v>
      </c>
      <c r="J15" s="108">
        <f>0</f>
        <v>0</v>
      </c>
      <c r="K15" s="108">
        <f>0</f>
        <v>0</v>
      </c>
      <c r="L15" s="108">
        <f>0</f>
        <v>0</v>
      </c>
      <c r="M15" s="108">
        <f t="shared" si="3"/>
        <v>8</v>
      </c>
      <c r="N15" s="122"/>
      <c r="O15" s="3">
        <f t="shared" si="1"/>
        <v>14</v>
      </c>
      <c r="P15" s="3">
        <f t="shared" si="2"/>
        <v>14</v>
      </c>
      <c r="V15" s="41">
        <f>8</f>
        <v>8</v>
      </c>
      <c r="W15" s="41">
        <f>0</f>
        <v>0</v>
      </c>
      <c r="Z15" s="3">
        <f t="shared" si="4"/>
        <v>8</v>
      </c>
      <c r="AA15" s="3">
        <f t="shared" si="5"/>
        <v>8</v>
      </c>
    </row>
    <row r="16" spans="1:27" x14ac:dyDescent="0.25">
      <c r="A16" s="45" t="s">
        <v>456</v>
      </c>
      <c r="B16" s="66" t="s">
        <v>7</v>
      </c>
      <c r="C16" s="46">
        <v>2018</v>
      </c>
      <c r="D16" s="47">
        <f t="shared" si="0"/>
        <v>0</v>
      </c>
      <c r="E16" s="108"/>
      <c r="F16" s="108"/>
      <c r="G16" s="108"/>
      <c r="I16" s="108"/>
      <c r="J16" s="108"/>
      <c r="K16" s="108"/>
      <c r="L16" s="108"/>
      <c r="M16" s="108">
        <f t="shared" si="3"/>
        <v>0</v>
      </c>
      <c r="N16" s="122"/>
      <c r="O16" s="3">
        <f t="shared" si="1"/>
        <v>0</v>
      </c>
      <c r="P16" s="3">
        <f t="shared" si="2"/>
        <v>0</v>
      </c>
      <c r="V16" s="41">
        <f>0</f>
        <v>0</v>
      </c>
      <c r="X16" s="78"/>
      <c r="Z16" s="3">
        <f t="shared" si="4"/>
        <v>0</v>
      </c>
      <c r="AA16" s="3">
        <f t="shared" si="5"/>
        <v>0</v>
      </c>
    </row>
    <row r="17" spans="1:27" x14ac:dyDescent="0.25">
      <c r="A17" s="45" t="s">
        <v>292</v>
      </c>
      <c r="B17" s="66" t="s">
        <v>63</v>
      </c>
      <c r="C17" s="46">
        <v>2017</v>
      </c>
      <c r="D17" s="47">
        <f t="shared" si="0"/>
        <v>0</v>
      </c>
      <c r="E17" s="108"/>
      <c r="F17" s="108"/>
      <c r="G17" s="108"/>
      <c r="I17" s="108"/>
      <c r="J17" s="108"/>
      <c r="K17" s="108"/>
      <c r="L17" s="108"/>
      <c r="M17" s="108">
        <f t="shared" si="3"/>
        <v>0</v>
      </c>
      <c r="N17" s="122"/>
      <c r="O17" s="3">
        <f t="shared" si="1"/>
        <v>0</v>
      </c>
      <c r="P17" s="3">
        <f t="shared" si="2"/>
        <v>0</v>
      </c>
      <c r="T17" s="41">
        <f>0</f>
        <v>0</v>
      </c>
      <c r="Z17" s="3">
        <f t="shared" si="4"/>
        <v>0</v>
      </c>
      <c r="AA17" s="3">
        <f t="shared" si="5"/>
        <v>0</v>
      </c>
    </row>
    <row r="18" spans="1:27" x14ac:dyDescent="0.25">
      <c r="A18" s="45" t="s">
        <v>76</v>
      </c>
      <c r="B18" s="66" t="s">
        <v>63</v>
      </c>
      <c r="C18" s="46">
        <v>2017</v>
      </c>
      <c r="D18" s="47">
        <f t="shared" si="0"/>
        <v>6</v>
      </c>
      <c r="E18" s="108"/>
      <c r="F18" s="108"/>
      <c r="G18" s="108"/>
      <c r="I18" s="108"/>
      <c r="J18" s="108"/>
      <c r="K18" s="108"/>
      <c r="L18" s="108"/>
      <c r="M18" s="108">
        <f t="shared" si="3"/>
        <v>6</v>
      </c>
      <c r="N18" s="122"/>
      <c r="O18" s="3">
        <f t="shared" si="1"/>
        <v>6</v>
      </c>
      <c r="P18" s="3">
        <f t="shared" si="2"/>
        <v>6</v>
      </c>
      <c r="S18" s="41">
        <v>0</v>
      </c>
      <c r="U18" s="41">
        <f>6</f>
        <v>6</v>
      </c>
      <c r="Z18" s="3">
        <f t="shared" si="4"/>
        <v>6</v>
      </c>
      <c r="AA18" s="3">
        <f t="shared" si="5"/>
        <v>6</v>
      </c>
    </row>
    <row r="19" spans="1:27" x14ac:dyDescent="0.25">
      <c r="A19" s="45" t="s">
        <v>604</v>
      </c>
      <c r="B19" s="66" t="s">
        <v>605</v>
      </c>
      <c r="C19" s="46"/>
      <c r="D19" s="47">
        <f t="shared" si="0"/>
        <v>21</v>
      </c>
      <c r="E19" s="108"/>
      <c r="F19" s="108"/>
      <c r="G19" s="108"/>
      <c r="I19" s="108"/>
      <c r="J19" s="108"/>
      <c r="K19" s="108">
        <f>21</f>
        <v>21</v>
      </c>
      <c r="L19" s="108"/>
      <c r="M19" s="108"/>
      <c r="N19" s="122"/>
      <c r="O19" s="3">
        <f t="shared" si="1"/>
        <v>21</v>
      </c>
      <c r="P19" s="3">
        <f t="shared" si="2"/>
        <v>21</v>
      </c>
      <c r="X19" s="114"/>
    </row>
    <row r="20" spans="1:27" x14ac:dyDescent="0.25">
      <c r="A20" s="45" t="s">
        <v>687</v>
      </c>
      <c r="B20" s="66" t="s">
        <v>36</v>
      </c>
      <c r="C20" s="46">
        <v>2017</v>
      </c>
      <c r="D20" s="47">
        <f t="shared" si="0"/>
        <v>12</v>
      </c>
      <c r="E20" s="108"/>
      <c r="F20" s="108"/>
      <c r="G20" s="108"/>
      <c r="I20" s="108"/>
      <c r="J20" s="108">
        <f>12</f>
        <v>12</v>
      </c>
      <c r="K20" s="108"/>
      <c r="L20" s="108"/>
      <c r="M20" s="108"/>
      <c r="N20" s="122"/>
      <c r="O20" s="3">
        <f t="shared" si="1"/>
        <v>12</v>
      </c>
      <c r="P20" s="3">
        <f t="shared" si="2"/>
        <v>12</v>
      </c>
      <c r="X20" s="133"/>
    </row>
    <row r="21" spans="1:27" x14ac:dyDescent="0.25">
      <c r="A21" s="45" t="s">
        <v>453</v>
      </c>
      <c r="B21" s="66" t="s">
        <v>7</v>
      </c>
      <c r="C21" s="46">
        <v>2018</v>
      </c>
      <c r="D21" s="47">
        <f t="shared" si="0"/>
        <v>3</v>
      </c>
      <c r="E21" s="108"/>
      <c r="F21" s="108"/>
      <c r="G21" s="108"/>
      <c r="I21" s="108"/>
      <c r="J21" s="108"/>
      <c r="K21" s="108"/>
      <c r="L21" s="108"/>
      <c r="M21" s="108">
        <f>AA21</f>
        <v>3</v>
      </c>
      <c r="N21" s="122"/>
      <c r="O21" s="3">
        <f t="shared" si="1"/>
        <v>3</v>
      </c>
      <c r="P21" s="3">
        <f t="shared" si="2"/>
        <v>3</v>
      </c>
      <c r="V21" s="41">
        <f>3</f>
        <v>3</v>
      </c>
      <c r="X21" s="41"/>
      <c r="Z21" s="3">
        <f>SUM(R21:Y21)</f>
        <v>3</v>
      </c>
      <c r="AA21" s="3">
        <f>Z21</f>
        <v>3</v>
      </c>
    </row>
    <row r="22" spans="1:27" x14ac:dyDescent="0.25">
      <c r="A22" s="45" t="s">
        <v>438</v>
      </c>
      <c r="B22" s="66" t="s">
        <v>409</v>
      </c>
      <c r="C22" s="46"/>
      <c r="D22" s="47">
        <f t="shared" si="0"/>
        <v>1</v>
      </c>
      <c r="E22" s="108">
        <f>0+1</f>
        <v>1</v>
      </c>
      <c r="F22" s="108"/>
      <c r="G22" s="108"/>
      <c r="I22" s="108"/>
      <c r="J22" s="108"/>
      <c r="K22" s="108"/>
      <c r="L22" s="108"/>
      <c r="M22" s="108">
        <f>AA22</f>
        <v>0</v>
      </c>
      <c r="N22" s="122"/>
      <c r="O22" s="3">
        <f t="shared" si="1"/>
        <v>0</v>
      </c>
      <c r="P22" s="3">
        <f t="shared" si="2"/>
        <v>0</v>
      </c>
      <c r="V22" s="41">
        <f>0</f>
        <v>0</v>
      </c>
      <c r="X22" s="41"/>
      <c r="Z22" s="3">
        <f>SUM(R22:Y22)</f>
        <v>0</v>
      </c>
      <c r="AA22" s="3">
        <f>Z22</f>
        <v>0</v>
      </c>
    </row>
    <row r="23" spans="1:27" x14ac:dyDescent="0.25">
      <c r="A23" s="45" t="s">
        <v>608</v>
      </c>
      <c r="B23" s="66" t="s">
        <v>36</v>
      </c>
      <c r="C23" s="46">
        <v>2019</v>
      </c>
      <c r="D23" s="47">
        <f t="shared" si="0"/>
        <v>6</v>
      </c>
      <c r="E23" s="108">
        <f>3</f>
        <v>3</v>
      </c>
      <c r="F23" s="108"/>
      <c r="G23" s="108"/>
      <c r="I23" s="108"/>
      <c r="J23" s="108">
        <f>0</f>
        <v>0</v>
      </c>
      <c r="K23" s="108">
        <f>3</f>
        <v>3</v>
      </c>
      <c r="L23" s="108"/>
      <c r="M23" s="108"/>
      <c r="N23" s="122"/>
      <c r="O23" s="3">
        <f t="shared" si="1"/>
        <v>3</v>
      </c>
      <c r="P23" s="3">
        <f t="shared" si="2"/>
        <v>3</v>
      </c>
      <c r="X23" s="114"/>
    </row>
    <row r="24" spans="1:27" x14ac:dyDescent="0.25">
      <c r="A24" s="45" t="s">
        <v>291</v>
      </c>
      <c r="B24" s="66" t="s">
        <v>0</v>
      </c>
      <c r="C24" s="46">
        <v>2018</v>
      </c>
      <c r="D24" s="47">
        <f t="shared" si="0"/>
        <v>85</v>
      </c>
      <c r="E24" s="108">
        <f>3</f>
        <v>3</v>
      </c>
      <c r="F24" s="108">
        <f>15</f>
        <v>15</v>
      </c>
      <c r="G24" s="108"/>
      <c r="I24" s="108">
        <f>12</f>
        <v>12</v>
      </c>
      <c r="J24" s="108">
        <f>9</f>
        <v>9</v>
      </c>
      <c r="K24" s="108">
        <f>15</f>
        <v>15</v>
      </c>
      <c r="L24" s="108">
        <f>9</f>
        <v>9</v>
      </c>
      <c r="M24" s="108">
        <f t="shared" ref="M24:M29" si="6">AA24</f>
        <v>22</v>
      </c>
      <c r="N24" s="122"/>
      <c r="O24" s="3">
        <f t="shared" si="1"/>
        <v>67</v>
      </c>
      <c r="P24" s="3">
        <f t="shared" si="2"/>
        <v>67</v>
      </c>
      <c r="T24" s="41">
        <f>3</f>
        <v>3</v>
      </c>
      <c r="U24" s="41">
        <f>3</f>
        <v>3</v>
      </c>
      <c r="V24" s="41">
        <f>10</f>
        <v>10</v>
      </c>
      <c r="W24" s="41">
        <f>6</f>
        <v>6</v>
      </c>
      <c r="X24" s="69"/>
      <c r="Z24" s="3">
        <f t="shared" ref="Z24:Z29" si="7">SUM(R24:Y24)</f>
        <v>22</v>
      </c>
      <c r="AA24" s="3">
        <f t="shared" ref="AA24:AA29" si="8">Z24</f>
        <v>22</v>
      </c>
    </row>
    <row r="25" spans="1:27" x14ac:dyDescent="0.25">
      <c r="A25" s="45" t="s">
        <v>79</v>
      </c>
      <c r="B25" s="66" t="s">
        <v>64</v>
      </c>
      <c r="C25" s="46"/>
      <c r="D25" s="47">
        <f t="shared" si="0"/>
        <v>42</v>
      </c>
      <c r="E25" s="108"/>
      <c r="F25" s="108"/>
      <c r="G25" s="108"/>
      <c r="I25" s="108"/>
      <c r="J25" s="108"/>
      <c r="K25" s="108"/>
      <c r="L25" s="108"/>
      <c r="M25" s="108">
        <f t="shared" si="6"/>
        <v>42</v>
      </c>
      <c r="N25" s="122"/>
      <c r="O25" s="3">
        <f t="shared" si="1"/>
        <v>42</v>
      </c>
      <c r="P25" s="3">
        <f t="shared" si="2"/>
        <v>42</v>
      </c>
      <c r="S25" s="41">
        <v>42</v>
      </c>
      <c r="Z25" s="3">
        <f t="shared" si="7"/>
        <v>42</v>
      </c>
      <c r="AA25" s="3">
        <f t="shared" si="8"/>
        <v>42</v>
      </c>
    </row>
    <row r="26" spans="1:27" x14ac:dyDescent="0.25">
      <c r="A26" s="45" t="s">
        <v>452</v>
      </c>
      <c r="B26" s="66" t="s">
        <v>63</v>
      </c>
      <c r="C26" s="46">
        <v>2017</v>
      </c>
      <c r="D26" s="47">
        <f t="shared" si="0"/>
        <v>20</v>
      </c>
      <c r="E26" s="108">
        <f>0+3</f>
        <v>3</v>
      </c>
      <c r="F26" s="108">
        <f>9</f>
        <v>9</v>
      </c>
      <c r="G26" s="108">
        <v>3</v>
      </c>
      <c r="I26" s="108">
        <f>0</f>
        <v>0</v>
      </c>
      <c r="J26" s="108"/>
      <c r="K26" s="108"/>
      <c r="L26" s="108"/>
      <c r="M26" s="108">
        <f t="shared" si="6"/>
        <v>5</v>
      </c>
      <c r="N26" s="122"/>
      <c r="O26" s="3">
        <f t="shared" si="1"/>
        <v>5</v>
      </c>
      <c r="P26" s="3">
        <f t="shared" si="2"/>
        <v>5</v>
      </c>
      <c r="V26" s="41">
        <f>5</f>
        <v>5</v>
      </c>
      <c r="Z26" s="3">
        <f t="shared" si="7"/>
        <v>5</v>
      </c>
      <c r="AA26" s="3">
        <f t="shared" si="8"/>
        <v>5</v>
      </c>
    </row>
    <row r="27" spans="1:27" x14ac:dyDescent="0.25">
      <c r="A27" s="45" t="s">
        <v>75</v>
      </c>
      <c r="B27" s="66" t="s">
        <v>64</v>
      </c>
      <c r="C27" s="46"/>
      <c r="D27" s="47">
        <f t="shared" si="0"/>
        <v>0</v>
      </c>
      <c r="E27" s="108"/>
      <c r="F27" s="108"/>
      <c r="G27" s="108"/>
      <c r="I27" s="108"/>
      <c r="J27" s="108"/>
      <c r="K27" s="108"/>
      <c r="L27" s="108"/>
      <c r="M27" s="108">
        <f t="shared" si="6"/>
        <v>0</v>
      </c>
      <c r="N27" s="122"/>
      <c r="O27" s="3">
        <f t="shared" si="1"/>
        <v>0</v>
      </c>
      <c r="P27" s="3">
        <f t="shared" si="2"/>
        <v>0</v>
      </c>
      <c r="S27" s="41">
        <v>0</v>
      </c>
      <c r="Z27" s="3">
        <f t="shared" si="7"/>
        <v>0</v>
      </c>
      <c r="AA27" s="3">
        <f t="shared" si="8"/>
        <v>0</v>
      </c>
    </row>
    <row r="28" spans="1:27" x14ac:dyDescent="0.25">
      <c r="A28" s="45" t="s">
        <v>294</v>
      </c>
      <c r="B28" s="66" t="s">
        <v>63</v>
      </c>
      <c r="C28" s="46"/>
      <c r="D28" s="47">
        <f t="shared" si="0"/>
        <v>0</v>
      </c>
      <c r="E28" s="108"/>
      <c r="F28" s="108"/>
      <c r="G28" s="108"/>
      <c r="I28" s="108"/>
      <c r="J28" s="108"/>
      <c r="K28" s="108"/>
      <c r="L28" s="108"/>
      <c r="M28" s="108">
        <f t="shared" si="6"/>
        <v>0</v>
      </c>
      <c r="N28" s="122"/>
      <c r="O28" s="3">
        <f t="shared" si="1"/>
        <v>0</v>
      </c>
      <c r="P28" s="3">
        <f t="shared" si="2"/>
        <v>0</v>
      </c>
      <c r="U28" s="41">
        <f>0</f>
        <v>0</v>
      </c>
      <c r="Z28" s="3">
        <f t="shared" si="7"/>
        <v>0</v>
      </c>
      <c r="AA28" s="3">
        <f t="shared" si="8"/>
        <v>0</v>
      </c>
    </row>
    <row r="29" spans="1:27" x14ac:dyDescent="0.25">
      <c r="A29" s="45" t="s">
        <v>73</v>
      </c>
      <c r="B29" s="66" t="s">
        <v>64</v>
      </c>
      <c r="C29" s="46"/>
      <c r="D29" s="47">
        <f t="shared" si="0"/>
        <v>3</v>
      </c>
      <c r="E29" s="108"/>
      <c r="F29" s="108"/>
      <c r="G29" s="108"/>
      <c r="I29" s="108"/>
      <c r="J29" s="108"/>
      <c r="K29" s="108"/>
      <c r="L29" s="108"/>
      <c r="M29" s="108">
        <f t="shared" si="6"/>
        <v>3</v>
      </c>
      <c r="N29" s="122"/>
      <c r="O29" s="3">
        <f t="shared" si="1"/>
        <v>3</v>
      </c>
      <c r="P29" s="3">
        <f t="shared" si="2"/>
        <v>3</v>
      </c>
      <c r="S29" s="41">
        <v>3</v>
      </c>
      <c r="Z29" s="3">
        <f t="shared" si="7"/>
        <v>3</v>
      </c>
      <c r="AA29" s="3">
        <f t="shared" si="8"/>
        <v>3</v>
      </c>
    </row>
    <row r="30" spans="1:27" x14ac:dyDescent="0.25">
      <c r="A30" s="71" t="s">
        <v>550</v>
      </c>
      <c r="B30" s="11" t="s">
        <v>0</v>
      </c>
      <c r="C30" s="3">
        <v>2019</v>
      </c>
      <c r="D30" s="47">
        <f t="shared" si="0"/>
        <v>48</v>
      </c>
      <c r="E30" s="108">
        <f>12</f>
        <v>12</v>
      </c>
      <c r="F30" s="108">
        <f>6</f>
        <v>6</v>
      </c>
      <c r="G30" s="108">
        <v>0</v>
      </c>
      <c r="I30" s="108">
        <f>6</f>
        <v>6</v>
      </c>
      <c r="J30" s="108">
        <f>6</f>
        <v>6</v>
      </c>
      <c r="K30" s="108">
        <f>12</f>
        <v>12</v>
      </c>
      <c r="L30" s="108">
        <f>6</f>
        <v>6</v>
      </c>
      <c r="M30" s="108"/>
      <c r="N30" s="122"/>
      <c r="O30" s="3">
        <f t="shared" si="1"/>
        <v>30</v>
      </c>
      <c r="P30" s="3">
        <f t="shared" si="2"/>
        <v>30</v>
      </c>
    </row>
    <row r="31" spans="1:27" x14ac:dyDescent="0.25">
      <c r="A31" s="45" t="s">
        <v>67</v>
      </c>
      <c r="B31" s="66" t="s">
        <v>64</v>
      </c>
      <c r="C31" s="46"/>
      <c r="D31" s="47">
        <f t="shared" si="0"/>
        <v>12</v>
      </c>
      <c r="E31" s="108"/>
      <c r="F31" s="108"/>
      <c r="G31" s="108"/>
      <c r="I31" s="108"/>
      <c r="J31" s="108"/>
      <c r="K31" s="108"/>
      <c r="L31" s="108"/>
      <c r="M31" s="108">
        <f>AA31</f>
        <v>12</v>
      </c>
      <c r="N31" s="122"/>
      <c r="O31" s="3">
        <f t="shared" si="1"/>
        <v>12</v>
      </c>
      <c r="P31" s="3">
        <f t="shared" si="2"/>
        <v>12</v>
      </c>
      <c r="S31" s="41">
        <v>12</v>
      </c>
      <c r="X31" s="69"/>
      <c r="Z31" s="3">
        <f>SUM(R31:Y31)</f>
        <v>12</v>
      </c>
      <c r="AA31" s="3">
        <f>Z31</f>
        <v>12</v>
      </c>
    </row>
    <row r="32" spans="1:27" x14ac:dyDescent="0.25">
      <c r="A32" s="45" t="s">
        <v>65</v>
      </c>
      <c r="B32" s="11" t="s">
        <v>0</v>
      </c>
      <c r="C32" s="46">
        <v>2017</v>
      </c>
      <c r="D32" s="47">
        <f t="shared" si="0"/>
        <v>132</v>
      </c>
      <c r="E32" s="108">
        <f>6+3</f>
        <v>9</v>
      </c>
      <c r="F32" s="108">
        <f>18</f>
        <v>18</v>
      </c>
      <c r="G32" s="108">
        <v>9</v>
      </c>
      <c r="I32" s="108"/>
      <c r="J32" s="108">
        <f>30</f>
        <v>30</v>
      </c>
      <c r="K32" s="108">
        <f>24</f>
        <v>24</v>
      </c>
      <c r="L32" s="108"/>
      <c r="M32" s="108">
        <f>AA32</f>
        <v>42</v>
      </c>
      <c r="N32" s="122"/>
      <c r="O32" s="3">
        <f t="shared" si="1"/>
        <v>96</v>
      </c>
      <c r="P32" s="3">
        <f t="shared" si="2"/>
        <v>96</v>
      </c>
      <c r="R32" s="41">
        <f>0</f>
        <v>0</v>
      </c>
      <c r="T32" s="41">
        <f>6</f>
        <v>6</v>
      </c>
      <c r="U32" s="41">
        <f>12</f>
        <v>12</v>
      </c>
      <c r="V32" s="41">
        <f>12</f>
        <v>12</v>
      </c>
      <c r="W32" s="41">
        <f>12</f>
        <v>12</v>
      </c>
      <c r="X32" s="13">
        <v>0</v>
      </c>
      <c r="Z32" s="3">
        <f>SUM(R32:Y32)</f>
        <v>42</v>
      </c>
      <c r="AA32" s="3">
        <f>Z32</f>
        <v>42</v>
      </c>
    </row>
    <row r="33" spans="1:27" x14ac:dyDescent="0.25">
      <c r="A33" s="11" t="s">
        <v>690</v>
      </c>
      <c r="B33" s="66" t="s">
        <v>36</v>
      </c>
      <c r="C33" s="46">
        <v>2017</v>
      </c>
      <c r="D33" s="47">
        <f t="shared" si="0"/>
        <v>3</v>
      </c>
      <c r="E33" s="108"/>
      <c r="F33" s="108"/>
      <c r="G33" s="108"/>
      <c r="I33" s="108"/>
      <c r="J33" s="108">
        <f>3</f>
        <v>3</v>
      </c>
      <c r="K33" s="108"/>
      <c r="L33" s="108"/>
      <c r="M33" s="108"/>
      <c r="N33" s="122"/>
      <c r="O33" s="3">
        <f t="shared" si="1"/>
        <v>3</v>
      </c>
      <c r="P33" s="3">
        <f t="shared" si="2"/>
        <v>3</v>
      </c>
    </row>
    <row r="34" spans="1:27" x14ac:dyDescent="0.25">
      <c r="A34" s="11" t="s">
        <v>686</v>
      </c>
      <c r="B34" s="66" t="s">
        <v>63</v>
      </c>
      <c r="C34" s="46">
        <v>2018</v>
      </c>
      <c r="D34" s="47">
        <f t="shared" si="0"/>
        <v>10</v>
      </c>
      <c r="E34" s="108">
        <f>3+3</f>
        <v>6</v>
      </c>
      <c r="F34" s="108">
        <f>1</f>
        <v>1</v>
      </c>
      <c r="G34" s="108">
        <v>0</v>
      </c>
      <c r="I34" s="108">
        <f>0</f>
        <v>0</v>
      </c>
      <c r="J34" s="108">
        <f>3</f>
        <v>3</v>
      </c>
      <c r="K34" s="108"/>
      <c r="L34" s="108"/>
      <c r="M34" s="108"/>
      <c r="N34" s="122"/>
      <c r="O34" s="3">
        <f t="shared" si="1"/>
        <v>3</v>
      </c>
      <c r="P34" s="3">
        <f t="shared" si="2"/>
        <v>3</v>
      </c>
    </row>
    <row r="35" spans="1:27" x14ac:dyDescent="0.25">
      <c r="A35" s="45" t="s">
        <v>81</v>
      </c>
      <c r="B35" s="66" t="s">
        <v>63</v>
      </c>
      <c r="C35" s="46">
        <v>2018</v>
      </c>
      <c r="D35" s="47">
        <f t="shared" si="0"/>
        <v>64</v>
      </c>
      <c r="E35" s="108">
        <f>6+3</f>
        <v>9</v>
      </c>
      <c r="F35" s="108">
        <f>9+1</f>
        <v>10</v>
      </c>
      <c r="G35" s="108">
        <v>0</v>
      </c>
      <c r="I35" s="108">
        <f>12</f>
        <v>12</v>
      </c>
      <c r="J35" s="108">
        <f>9</f>
        <v>9</v>
      </c>
      <c r="K35" s="108">
        <f>6</f>
        <v>6</v>
      </c>
      <c r="L35" s="108">
        <f>3</f>
        <v>3</v>
      </c>
      <c r="M35" s="108">
        <f>AA35</f>
        <v>15</v>
      </c>
      <c r="N35" s="122"/>
      <c r="O35" s="3">
        <f t="shared" si="1"/>
        <v>45</v>
      </c>
      <c r="P35" s="3">
        <f t="shared" si="2"/>
        <v>45</v>
      </c>
      <c r="S35" s="41">
        <v>0</v>
      </c>
      <c r="U35" s="41">
        <f>9</f>
        <v>9</v>
      </c>
      <c r="V35" s="41">
        <f>3</f>
        <v>3</v>
      </c>
      <c r="W35" s="41">
        <f>3</f>
        <v>3</v>
      </c>
      <c r="Z35" s="3">
        <f>SUM(R35:Y35)</f>
        <v>15</v>
      </c>
      <c r="AA35" s="3">
        <f>Z35</f>
        <v>15</v>
      </c>
    </row>
    <row r="36" spans="1:27" s="5" customFormat="1" x14ac:dyDescent="0.25">
      <c r="A36" s="191"/>
      <c r="B36" s="10"/>
      <c r="D36" s="49"/>
      <c r="E36" s="185"/>
      <c r="F36" s="186"/>
      <c r="G36" s="187"/>
      <c r="H36" s="174"/>
      <c r="I36" s="188"/>
      <c r="J36" s="189"/>
      <c r="K36" s="186"/>
      <c r="L36" s="190"/>
      <c r="M36" s="111"/>
      <c r="N36" s="161"/>
      <c r="O36" s="96"/>
      <c r="P36" s="97"/>
      <c r="Q36" s="174"/>
      <c r="R36" s="176"/>
      <c r="S36" s="59"/>
      <c r="T36" s="73"/>
      <c r="U36" s="79"/>
      <c r="V36" s="81"/>
      <c r="W36" s="93"/>
      <c r="X36" s="33"/>
      <c r="Y36" s="95"/>
      <c r="Z36" s="96"/>
      <c r="AA36" s="97"/>
    </row>
    <row r="37" spans="1:27" s="5" customFormat="1" x14ac:dyDescent="0.25">
      <c r="A37" s="191" t="s">
        <v>15</v>
      </c>
      <c r="B37" s="10"/>
      <c r="D37" s="49"/>
      <c r="E37" s="185"/>
      <c r="F37" s="186"/>
      <c r="G37" s="187"/>
      <c r="H37" s="174"/>
      <c r="I37" s="188"/>
      <c r="J37" s="189"/>
      <c r="K37" s="186"/>
      <c r="L37" s="190"/>
      <c r="M37" s="111"/>
      <c r="N37" s="161"/>
      <c r="O37" s="96"/>
      <c r="P37" s="97"/>
      <c r="Q37" s="174"/>
      <c r="R37" s="176"/>
      <c r="S37" s="59"/>
      <c r="T37" s="73"/>
      <c r="U37" s="79"/>
      <c r="V37" s="81"/>
      <c r="W37" s="93"/>
      <c r="X37" s="33"/>
      <c r="Y37" s="95"/>
      <c r="Z37" s="96"/>
      <c r="AA37" s="97"/>
    </row>
    <row r="38" spans="1:27" x14ac:dyDescent="0.25">
      <c r="A38" s="45" t="s">
        <v>722</v>
      </c>
      <c r="B38" s="66" t="s">
        <v>63</v>
      </c>
      <c r="C38" s="46">
        <v>2018</v>
      </c>
      <c r="D38" s="47">
        <f t="shared" ref="D38:D49" si="9">P38+G38+F38+E38</f>
        <v>3</v>
      </c>
      <c r="E38" s="108"/>
      <c r="F38" s="108"/>
      <c r="G38" s="108"/>
      <c r="I38" s="108">
        <f>3</f>
        <v>3</v>
      </c>
      <c r="J38" s="108"/>
      <c r="K38" s="108"/>
      <c r="L38" s="108"/>
      <c r="M38" s="108"/>
      <c r="N38" s="122"/>
      <c r="O38" s="3">
        <f>SUM(I38:M38)</f>
        <v>3</v>
      </c>
      <c r="P38" s="3">
        <f>O38</f>
        <v>3</v>
      </c>
      <c r="X38" s="139"/>
    </row>
    <row r="39" spans="1:27" x14ac:dyDescent="0.25">
      <c r="A39" s="71" t="s">
        <v>718</v>
      </c>
      <c r="B39" s="66" t="s">
        <v>63</v>
      </c>
      <c r="C39" s="46">
        <v>2019</v>
      </c>
      <c r="D39" s="47">
        <f t="shared" si="9"/>
        <v>12</v>
      </c>
      <c r="E39" s="108">
        <f>6+3</f>
        <v>9</v>
      </c>
      <c r="F39" s="108">
        <f>0</f>
        <v>0</v>
      </c>
      <c r="G39" s="108"/>
      <c r="I39" s="108">
        <f>3</f>
        <v>3</v>
      </c>
      <c r="J39" s="108"/>
      <c r="K39" s="108"/>
      <c r="L39" s="108"/>
      <c r="M39" s="108"/>
      <c r="N39" s="122"/>
      <c r="O39" s="3">
        <f>SUM(I39:M39)</f>
        <v>3</v>
      </c>
      <c r="P39" s="3">
        <f>O39</f>
        <v>3</v>
      </c>
      <c r="X39" s="139"/>
    </row>
    <row r="40" spans="1:27" x14ac:dyDescent="0.25">
      <c r="A40" s="71" t="s">
        <v>717</v>
      </c>
      <c r="B40" s="66" t="s">
        <v>63</v>
      </c>
      <c r="C40" s="46">
        <v>2018</v>
      </c>
      <c r="D40" s="47">
        <f t="shared" si="9"/>
        <v>9</v>
      </c>
      <c r="E40" s="108"/>
      <c r="F40" s="108"/>
      <c r="G40" s="108"/>
      <c r="I40" s="108">
        <f>9</f>
        <v>9</v>
      </c>
      <c r="J40" s="108"/>
      <c r="K40" s="108"/>
      <c r="L40" s="108"/>
      <c r="M40" s="108"/>
      <c r="N40" s="122"/>
      <c r="O40" s="3">
        <f>SUM(I40:M40)</f>
        <v>9</v>
      </c>
      <c r="P40" s="3">
        <f>O40</f>
        <v>9</v>
      </c>
      <c r="X40" s="139"/>
    </row>
    <row r="41" spans="1:27" x14ac:dyDescent="0.25">
      <c r="A41" s="11" t="s">
        <v>840</v>
      </c>
      <c r="B41" s="11" t="s">
        <v>63</v>
      </c>
      <c r="C41" s="3">
        <v>2017</v>
      </c>
      <c r="D41" s="47">
        <f t="shared" si="9"/>
        <v>7</v>
      </c>
      <c r="E41" s="108">
        <f>4+3</f>
        <v>7</v>
      </c>
      <c r="F41" s="108">
        <f>0</f>
        <v>0</v>
      </c>
      <c r="G41" s="108"/>
      <c r="I41" s="108"/>
      <c r="J41" s="108"/>
      <c r="K41" s="108"/>
      <c r="L41" s="108"/>
      <c r="M41" s="108"/>
      <c r="N41" s="122"/>
      <c r="X41" s="41"/>
      <c r="Y41" s="74"/>
    </row>
    <row r="42" spans="1:27" x14ac:dyDescent="0.25">
      <c r="A42" s="11" t="s">
        <v>766</v>
      </c>
      <c r="B42" s="11" t="s">
        <v>233</v>
      </c>
      <c r="C42" s="3">
        <v>2017</v>
      </c>
      <c r="D42" s="47">
        <f t="shared" si="9"/>
        <v>6</v>
      </c>
      <c r="E42" s="108"/>
      <c r="F42" s="108"/>
      <c r="G42" s="108">
        <f>6</f>
        <v>6</v>
      </c>
      <c r="I42" s="108"/>
      <c r="J42" s="108"/>
      <c r="K42" s="108"/>
      <c r="L42" s="108"/>
      <c r="M42" s="108"/>
      <c r="N42" s="122"/>
      <c r="X42" s="41"/>
      <c r="Y42" s="74"/>
    </row>
    <row r="43" spans="1:27" x14ac:dyDescent="0.25">
      <c r="A43" s="45" t="s">
        <v>838</v>
      </c>
      <c r="B43" s="66" t="s">
        <v>0</v>
      </c>
      <c r="C43" s="46">
        <v>2018</v>
      </c>
      <c r="D43" s="47">
        <f t="shared" si="9"/>
        <v>11</v>
      </c>
      <c r="E43" s="108">
        <f>7</f>
        <v>7</v>
      </c>
      <c r="F43" s="108">
        <f>4</f>
        <v>4</v>
      </c>
      <c r="G43" s="108"/>
      <c r="I43" s="108"/>
      <c r="J43" s="108"/>
      <c r="K43" s="108"/>
      <c r="L43" s="108"/>
      <c r="M43" s="108"/>
      <c r="N43" s="122"/>
    </row>
    <row r="44" spans="1:27" x14ac:dyDescent="0.25">
      <c r="A44" s="45" t="s">
        <v>891</v>
      </c>
      <c r="B44" s="66" t="s">
        <v>409</v>
      </c>
      <c r="C44" s="46">
        <v>2017</v>
      </c>
      <c r="D44" s="47">
        <f t="shared" si="9"/>
        <v>0</v>
      </c>
      <c r="E44" s="108">
        <f>0</f>
        <v>0</v>
      </c>
      <c r="F44" s="108"/>
      <c r="G44" s="108"/>
      <c r="I44" s="108"/>
      <c r="J44" s="108"/>
      <c r="K44" s="108"/>
      <c r="L44" s="108"/>
      <c r="M44" s="108"/>
      <c r="N44" s="122"/>
    </row>
    <row r="45" spans="1:27" x14ac:dyDescent="0.25">
      <c r="A45" s="45" t="s">
        <v>887</v>
      </c>
      <c r="B45" s="66" t="s">
        <v>0</v>
      </c>
      <c r="C45" s="46">
        <v>2017</v>
      </c>
      <c r="D45" s="47">
        <f t="shared" si="9"/>
        <v>6</v>
      </c>
      <c r="E45" s="108">
        <f>6</f>
        <v>6</v>
      </c>
      <c r="F45" s="108"/>
      <c r="G45" s="108"/>
      <c r="I45" s="108"/>
      <c r="J45" s="108"/>
      <c r="K45" s="108"/>
      <c r="L45" s="108"/>
      <c r="M45" s="108"/>
      <c r="N45" s="122"/>
      <c r="X45" s="175"/>
    </row>
    <row r="46" spans="1:27" x14ac:dyDescent="0.25">
      <c r="A46" s="45" t="s">
        <v>888</v>
      </c>
      <c r="B46" s="66" t="s">
        <v>409</v>
      </c>
      <c r="C46" s="46"/>
      <c r="D46" s="47">
        <f t="shared" si="9"/>
        <v>6</v>
      </c>
      <c r="E46" s="108">
        <f>5+1</f>
        <v>6</v>
      </c>
      <c r="F46" s="108"/>
      <c r="G46" s="108"/>
      <c r="I46" s="108"/>
      <c r="J46" s="108"/>
      <c r="K46" s="108"/>
      <c r="L46" s="108"/>
      <c r="M46" s="108"/>
      <c r="N46" s="122"/>
      <c r="X46" s="175"/>
    </row>
    <row r="47" spans="1:27" x14ac:dyDescent="0.25">
      <c r="A47" s="45" t="s">
        <v>839</v>
      </c>
      <c r="B47" s="66" t="s">
        <v>0</v>
      </c>
      <c r="C47" s="46">
        <v>2017</v>
      </c>
      <c r="D47" s="47">
        <f t="shared" si="9"/>
        <v>2</v>
      </c>
      <c r="E47" s="108"/>
      <c r="F47" s="108">
        <f>2</f>
        <v>2</v>
      </c>
      <c r="G47" s="108"/>
      <c r="I47" s="108"/>
      <c r="J47" s="108"/>
      <c r="K47" s="108"/>
      <c r="L47" s="108"/>
      <c r="M47" s="108"/>
      <c r="N47" s="122"/>
    </row>
    <row r="48" spans="1:27" x14ac:dyDescent="0.25">
      <c r="A48" s="45" t="s">
        <v>837</v>
      </c>
      <c r="B48" s="66" t="s">
        <v>0</v>
      </c>
      <c r="C48" s="46">
        <v>2020</v>
      </c>
      <c r="D48" s="47">
        <f t="shared" si="9"/>
        <v>12</v>
      </c>
      <c r="E48" s="108">
        <f>9</f>
        <v>9</v>
      </c>
      <c r="F48" s="108">
        <f>3</f>
        <v>3</v>
      </c>
      <c r="G48" s="108"/>
      <c r="I48" s="108"/>
      <c r="J48" s="108"/>
      <c r="K48" s="108"/>
      <c r="L48" s="108"/>
      <c r="M48" s="108"/>
      <c r="N48" s="122"/>
    </row>
    <row r="49" spans="1:16" x14ac:dyDescent="0.25">
      <c r="A49" s="11" t="s">
        <v>719</v>
      </c>
      <c r="B49" s="66" t="s">
        <v>63</v>
      </c>
      <c r="C49" s="46">
        <v>2017</v>
      </c>
      <c r="D49" s="47">
        <f t="shared" si="9"/>
        <v>31</v>
      </c>
      <c r="E49" s="108">
        <f>8+3</f>
        <v>11</v>
      </c>
      <c r="F49" s="108">
        <f>3+1</f>
        <v>4</v>
      </c>
      <c r="G49" s="108">
        <v>12</v>
      </c>
      <c r="I49" s="108">
        <f>4</f>
        <v>4</v>
      </c>
      <c r="J49" s="108"/>
      <c r="K49" s="108"/>
      <c r="L49" s="108"/>
      <c r="M49" s="108"/>
      <c r="N49" s="122"/>
      <c r="O49" s="3">
        <f>SUM(I49:M49)</f>
        <v>4</v>
      </c>
      <c r="P49" s="3">
        <f>O49</f>
        <v>4</v>
      </c>
    </row>
    <row r="50" spans="1:16" x14ac:dyDescent="0.25">
      <c r="B50" s="3"/>
    </row>
  </sheetData>
  <autoFilter ref="B1:B47" xr:uid="{00000000-0009-0000-0000-000000000000}"/>
  <mergeCells count="3">
    <mergeCell ref="A1:B2"/>
    <mergeCell ref="R3:S3"/>
    <mergeCell ref="F3:G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322"/>
  <sheetViews>
    <sheetView zoomScaleNormal="100" workbookViewId="0">
      <pane xSplit="4" ySplit="4" topLeftCell="E204" activePane="bottomRight" state="frozen"/>
      <selection pane="topRight" activeCell="E1" sqref="E1"/>
      <selection pane="bottomLeft" activeCell="A3" sqref="A3"/>
      <selection pane="bottomRight" activeCell="G211" sqref="G211"/>
    </sheetView>
  </sheetViews>
  <sheetFormatPr defaultRowHeight="15" x14ac:dyDescent="0.25"/>
  <cols>
    <col min="1" max="1" width="22" style="11" bestFit="1" customWidth="1"/>
    <col min="2" max="2" width="27.5703125" style="11" bestFit="1" customWidth="1"/>
    <col min="3" max="3" width="8.140625" style="3" bestFit="1" customWidth="1"/>
    <col min="4" max="4" width="11.5703125" style="16" bestFit="1" customWidth="1"/>
    <col min="5" max="5" width="12.28515625" style="177" customWidth="1"/>
    <col min="6" max="7" width="12.28515625" style="50" customWidth="1"/>
    <col min="8" max="8" width="11" style="50" customWidth="1"/>
    <col min="9" max="9" width="3" style="50" customWidth="1"/>
    <col min="10" max="10" width="12.5703125" style="50" customWidth="1"/>
    <col min="11" max="15" width="11" style="50" customWidth="1"/>
    <col min="16" max="17" width="9.140625" style="3"/>
    <col min="18" max="18" width="3.7109375" style="36" customWidth="1"/>
    <col min="19" max="19" width="9.85546875" style="50" customWidth="1"/>
    <col min="20" max="20" width="11" style="50" customWidth="1"/>
    <col min="21" max="24" width="9.85546875" style="50" customWidth="1"/>
    <col min="25" max="25" width="9.85546875" style="36" customWidth="1"/>
    <col min="26" max="26" width="10.85546875" style="3" customWidth="1"/>
    <col min="27" max="16384" width="9.140625" style="3"/>
  </cols>
  <sheetData>
    <row r="1" spans="1:47" s="19" customFormat="1" ht="15" customHeight="1" x14ac:dyDescent="0.5">
      <c r="A1" s="192" t="s">
        <v>10</v>
      </c>
      <c r="B1" s="193"/>
      <c r="C1" s="193"/>
      <c r="D1" s="28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8"/>
      <c r="Q1" s="18"/>
      <c r="R1" s="99"/>
      <c r="S1" s="28"/>
      <c r="T1" s="28"/>
      <c r="U1" s="28"/>
      <c r="V1" s="28"/>
      <c r="W1" s="28"/>
      <c r="X1" s="28"/>
      <c r="Y1" s="2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</row>
    <row r="2" spans="1:47" s="19" customFormat="1" ht="15" customHeight="1" x14ac:dyDescent="0.5">
      <c r="A2" s="194"/>
      <c r="B2" s="195"/>
      <c r="C2" s="195"/>
      <c r="D2" s="29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20"/>
      <c r="Q2" s="20"/>
      <c r="R2" s="100"/>
      <c r="S2" s="29"/>
      <c r="T2" s="29"/>
      <c r="U2" s="29"/>
      <c r="V2" s="29"/>
      <c r="W2" s="29"/>
      <c r="X2" s="29"/>
      <c r="Y2" s="29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x14ac:dyDescent="0.25">
      <c r="D3" s="36"/>
      <c r="E3" s="36"/>
      <c r="F3" s="205">
        <v>2024</v>
      </c>
      <c r="G3" s="206"/>
      <c r="M3" s="50">
        <v>2023</v>
      </c>
      <c r="S3" s="202">
        <v>2022</v>
      </c>
      <c r="T3" s="203"/>
      <c r="U3" s="203"/>
      <c r="V3" s="203"/>
      <c r="W3" s="203"/>
      <c r="X3" s="203"/>
      <c r="Y3" s="204"/>
    </row>
    <row r="4" spans="1:47" ht="107.25" customHeight="1" x14ac:dyDescent="0.25">
      <c r="A4" s="4" t="s">
        <v>1</v>
      </c>
      <c r="B4" s="12" t="s">
        <v>2</v>
      </c>
      <c r="C4" s="4" t="s">
        <v>3</v>
      </c>
      <c r="D4" s="49" t="s">
        <v>886</v>
      </c>
      <c r="E4" s="185" t="s">
        <v>885</v>
      </c>
      <c r="F4" s="170" t="s">
        <v>293</v>
      </c>
      <c r="G4" s="159" t="s">
        <v>4</v>
      </c>
      <c r="H4" s="119" t="s">
        <v>5</v>
      </c>
      <c r="I4" s="142"/>
      <c r="J4" s="142" t="s">
        <v>395</v>
      </c>
      <c r="K4" s="130" t="s">
        <v>229</v>
      </c>
      <c r="L4" s="130" t="s">
        <v>293</v>
      </c>
      <c r="M4" s="118" t="s">
        <v>4</v>
      </c>
      <c r="N4" s="104" t="s">
        <v>549</v>
      </c>
      <c r="O4" s="119" t="s">
        <v>5</v>
      </c>
      <c r="P4" s="96" t="s">
        <v>765</v>
      </c>
      <c r="Q4" s="97" t="s">
        <v>547</v>
      </c>
      <c r="R4" s="42"/>
      <c r="S4" s="90" t="s">
        <v>4</v>
      </c>
      <c r="T4" s="59" t="s">
        <v>62</v>
      </c>
      <c r="U4" s="73" t="s">
        <v>229</v>
      </c>
      <c r="V4" s="79" t="s">
        <v>293</v>
      </c>
      <c r="W4" s="81" t="s">
        <v>395</v>
      </c>
      <c r="X4" s="93" t="s">
        <v>466</v>
      </c>
      <c r="Y4" s="33" t="s">
        <v>34</v>
      </c>
      <c r="Z4" s="95" t="s">
        <v>5</v>
      </c>
      <c r="AA4" s="96" t="s">
        <v>546</v>
      </c>
      <c r="AB4" s="97" t="s">
        <v>547</v>
      </c>
    </row>
    <row r="5" spans="1:47" s="17" customFormat="1" x14ac:dyDescent="0.25">
      <c r="A5" s="198" t="s">
        <v>548</v>
      </c>
      <c r="B5" s="198"/>
      <c r="C5" s="198"/>
      <c r="D5" s="22"/>
      <c r="E5" s="177"/>
      <c r="F5" s="50"/>
      <c r="G5" s="50"/>
      <c r="H5" s="120"/>
      <c r="I5" s="50"/>
      <c r="J5" s="50"/>
      <c r="K5" s="50"/>
      <c r="L5" s="50"/>
      <c r="M5" s="50"/>
      <c r="N5" s="50"/>
      <c r="O5" s="120"/>
      <c r="P5" s="68"/>
      <c r="Q5" s="68"/>
      <c r="R5" s="22"/>
      <c r="S5" s="50"/>
      <c r="T5" s="50"/>
      <c r="U5" s="50"/>
      <c r="V5" s="50"/>
      <c r="W5" s="50"/>
      <c r="X5" s="50"/>
      <c r="Y5" s="22"/>
      <c r="Z5" s="68"/>
      <c r="AA5" s="68"/>
      <c r="AB5" s="68"/>
    </row>
    <row r="6" spans="1:47" s="17" customFormat="1" x14ac:dyDescent="0.25">
      <c r="A6" s="11" t="s">
        <v>603</v>
      </c>
      <c r="B6" s="60" t="s">
        <v>0</v>
      </c>
      <c r="C6" s="3">
        <v>2012</v>
      </c>
      <c r="D6" s="1">
        <f>Q6+G6+F6+H6+E6</f>
        <v>511</v>
      </c>
      <c r="E6" s="177"/>
      <c r="F6" s="50"/>
      <c r="G6" s="50"/>
      <c r="H6" s="120"/>
      <c r="I6" s="50"/>
      <c r="J6" s="50">
        <f>9+9</f>
        <v>18</v>
      </c>
      <c r="K6" s="50">
        <f>30+54</f>
        <v>84</v>
      </c>
      <c r="L6" s="50">
        <f>66+69</f>
        <v>135</v>
      </c>
      <c r="M6" s="50">
        <f>63+21+3</f>
        <v>87</v>
      </c>
      <c r="N6" s="50">
        <f>AB6</f>
        <v>187</v>
      </c>
      <c r="O6" s="120"/>
      <c r="P6" s="96">
        <f>SUM(J6:N6)</f>
        <v>511</v>
      </c>
      <c r="Q6" s="97">
        <f>IF(C6=2016, P6/3,P6)+O6</f>
        <v>511</v>
      </c>
      <c r="R6" s="22"/>
      <c r="S6" s="50"/>
      <c r="T6" s="50"/>
      <c r="U6" s="50"/>
      <c r="V6" s="50"/>
      <c r="W6" s="50">
        <f>42</f>
        <v>42</v>
      </c>
      <c r="X6" s="50">
        <f>40+48</f>
        <v>88</v>
      </c>
      <c r="Y6" s="22">
        <f>57</f>
        <v>57</v>
      </c>
      <c r="Z6" s="95"/>
      <c r="AA6" s="96">
        <f>SUM(S6:Y6)</f>
        <v>187</v>
      </c>
      <c r="AB6" s="97">
        <f>IF(C6=2015, AA6/3,AA6)+Z6</f>
        <v>187</v>
      </c>
    </row>
    <row r="7" spans="1:47" x14ac:dyDescent="0.25">
      <c r="A7" s="11" t="s">
        <v>553</v>
      </c>
      <c r="B7" s="60" t="s">
        <v>554</v>
      </c>
      <c r="C7" s="62">
        <v>2013</v>
      </c>
      <c r="D7" s="1">
        <f>Q7+G7+F7+H7+E7</f>
        <v>305</v>
      </c>
      <c r="F7" s="50">
        <f>90+18+6</f>
        <v>114</v>
      </c>
      <c r="G7" s="50">
        <f>38+4</f>
        <v>42</v>
      </c>
      <c r="H7" s="158"/>
      <c r="I7" s="22"/>
      <c r="K7" s="50">
        <f>38+33</f>
        <v>71</v>
      </c>
      <c r="M7" s="50">
        <f>36+42</f>
        <v>78</v>
      </c>
      <c r="O7" s="120"/>
      <c r="P7" s="96">
        <f>SUM(J7:N7)</f>
        <v>149</v>
      </c>
      <c r="Q7" s="97">
        <f>IF(C7=2016, P7/3,P7)+O7</f>
        <v>149</v>
      </c>
      <c r="R7" s="22"/>
      <c r="S7" s="157"/>
      <c r="T7" s="157"/>
      <c r="U7" s="157"/>
      <c r="V7" s="157"/>
      <c r="W7" s="157"/>
      <c r="X7" s="157"/>
      <c r="Y7" s="13"/>
      <c r="Z7" s="95"/>
      <c r="AA7" s="96">
        <f>SUM(S7:Y7)</f>
        <v>0</v>
      </c>
      <c r="AB7" s="97">
        <f>IF(C7=2015, AA7/3,AA7)+Z7</f>
        <v>0</v>
      </c>
    </row>
    <row r="8" spans="1:47" x14ac:dyDescent="0.25">
      <c r="A8" s="11" t="s">
        <v>338</v>
      </c>
      <c r="B8" s="60" t="s">
        <v>0</v>
      </c>
      <c r="C8" s="3">
        <v>2012</v>
      </c>
      <c r="D8" s="1">
        <f>Q8+G8+F8+H8+E8</f>
        <v>774</v>
      </c>
      <c r="E8" s="177">
        <f>0+3+9</f>
        <v>12</v>
      </c>
      <c r="F8" s="50">
        <f>27+15+9</f>
        <v>51</v>
      </c>
      <c r="G8" s="50">
        <f>6+3+6</f>
        <v>15</v>
      </c>
      <c r="H8" s="120"/>
      <c r="J8" s="50">
        <f>0</f>
        <v>0</v>
      </c>
      <c r="K8" s="50">
        <f>15+42</f>
        <v>57</v>
      </c>
      <c r="L8" s="50">
        <f>90+39</f>
        <v>129</v>
      </c>
      <c r="M8" s="50">
        <f>39+51+3+3</f>
        <v>96</v>
      </c>
      <c r="N8" s="50">
        <f>AB8</f>
        <v>414</v>
      </c>
      <c r="O8" s="120"/>
      <c r="P8" s="96">
        <f>SUM(J8:N8)</f>
        <v>696</v>
      </c>
      <c r="Q8" s="97">
        <f>IF(C8=2016, P8/3,P8)+O8</f>
        <v>696</v>
      </c>
      <c r="R8" s="22"/>
      <c r="V8" s="50">
        <f>27+21</f>
        <v>48</v>
      </c>
      <c r="W8" s="50">
        <f>3+36</f>
        <v>39</v>
      </c>
      <c r="X8" s="50">
        <f>24+63+3+3</f>
        <v>93</v>
      </c>
      <c r="Y8" s="50">
        <f>234</f>
        <v>234</v>
      </c>
      <c r="Z8" s="95"/>
      <c r="AA8" s="96">
        <f>SUM(S8:Y8)</f>
        <v>414</v>
      </c>
      <c r="AB8" s="97">
        <f>IF(C8=2015, AA8/3,AA8)+Z8</f>
        <v>414</v>
      </c>
      <c r="AC8" s="74"/>
    </row>
    <row r="9" spans="1:47" s="17" customFormat="1" x14ac:dyDescent="0.25">
      <c r="A9" s="11" t="s">
        <v>237</v>
      </c>
      <c r="B9" s="60" t="s">
        <v>0</v>
      </c>
      <c r="C9" s="3">
        <v>2012</v>
      </c>
      <c r="D9" s="1">
        <f>Q9+G9+F9+H9+E9</f>
        <v>1054</v>
      </c>
      <c r="E9" s="177">
        <f>66+15+6+9</f>
        <v>96</v>
      </c>
      <c r="F9" s="50">
        <f>60+6+15+9</f>
        <v>90</v>
      </c>
      <c r="G9" s="50"/>
      <c r="H9" s="120"/>
      <c r="I9" s="50"/>
      <c r="J9" s="50">
        <f>33+9</f>
        <v>42</v>
      </c>
      <c r="K9" s="50">
        <f>81+54</f>
        <v>135</v>
      </c>
      <c r="L9" s="50">
        <f>171+69</f>
        <v>240</v>
      </c>
      <c r="M9" s="50">
        <f>66+21+3+3</f>
        <v>93</v>
      </c>
      <c r="N9" s="50">
        <f>AB9</f>
        <v>358</v>
      </c>
      <c r="O9" s="120"/>
      <c r="P9" s="96">
        <f>SUM(J9:N9)</f>
        <v>868</v>
      </c>
      <c r="Q9" s="97">
        <f>IF(C9=2016, P9/3,P9)+O9</f>
        <v>868</v>
      </c>
      <c r="R9" s="22"/>
      <c r="S9" s="50"/>
      <c r="T9" s="50"/>
      <c r="U9" s="50">
        <f>75+9</f>
        <v>84</v>
      </c>
      <c r="V9" s="50">
        <f>81+12</f>
        <v>93</v>
      </c>
      <c r="W9" s="50">
        <f>10+42</f>
        <v>52</v>
      </c>
      <c r="X9" s="50">
        <f>72+48+3+3</f>
        <v>126</v>
      </c>
      <c r="Y9" s="22">
        <f>3</f>
        <v>3</v>
      </c>
      <c r="Z9" s="95"/>
      <c r="AA9" s="96">
        <f>SUM(S9:Y9)</f>
        <v>358</v>
      </c>
      <c r="AB9" s="97">
        <f>IF(C9=2015, AA9/3,AA9)+Z9</f>
        <v>358</v>
      </c>
    </row>
    <row r="10" spans="1:47" x14ac:dyDescent="0.25">
      <c r="A10" s="71" t="s">
        <v>626</v>
      </c>
      <c r="B10" s="71" t="s">
        <v>64</v>
      </c>
      <c r="C10" s="72">
        <v>2012</v>
      </c>
      <c r="D10" s="1">
        <f>Q10+G10+F10+H10+E10</f>
        <v>339</v>
      </c>
      <c r="F10" s="50">
        <f>63+9+3</f>
        <v>75</v>
      </c>
      <c r="G10" s="50">
        <f>51</f>
        <v>51</v>
      </c>
      <c r="H10" s="158"/>
      <c r="I10" s="22"/>
      <c r="K10" s="50">
        <f>30+48</f>
        <v>78</v>
      </c>
      <c r="L10" s="50">
        <f>90+45</f>
        <v>135</v>
      </c>
      <c r="O10" s="120"/>
      <c r="P10" s="96">
        <f>SUM(J10:N10)</f>
        <v>213</v>
      </c>
      <c r="Q10" s="97">
        <f>IF(C10=2016, P10/3,P10)+O10</f>
        <v>213</v>
      </c>
      <c r="R10" s="22"/>
      <c r="Z10" s="95"/>
      <c r="AA10" s="96">
        <f>SUM(S10:Y10)</f>
        <v>0</v>
      </c>
      <c r="AB10" s="97">
        <f>IF(C10=2015, AA10/3,AA10)+Z10</f>
        <v>0</v>
      </c>
    </row>
    <row r="11" spans="1:47" x14ac:dyDescent="0.25">
      <c r="A11" s="45" t="s">
        <v>296</v>
      </c>
      <c r="B11" s="66" t="s">
        <v>0</v>
      </c>
      <c r="C11" s="46">
        <v>2015</v>
      </c>
      <c r="D11" s="1">
        <f>Q11+G11+F11+H11+E11</f>
        <v>461</v>
      </c>
      <c r="E11" s="177">
        <f>42+6+9</f>
        <v>57</v>
      </c>
      <c r="F11" s="50">
        <f>94+24+9</f>
        <v>127</v>
      </c>
      <c r="G11" s="50">
        <f>38+10+6</f>
        <v>54</v>
      </c>
      <c r="H11" s="120"/>
      <c r="J11" s="50">
        <f>28</f>
        <v>28</v>
      </c>
      <c r="K11" s="50">
        <f>48</f>
        <v>48</v>
      </c>
      <c r="L11" s="50">
        <f>62</f>
        <v>62</v>
      </c>
      <c r="M11" s="50">
        <f>46+3</f>
        <v>49</v>
      </c>
      <c r="N11" s="50">
        <f>AB11</f>
        <v>36</v>
      </c>
      <c r="O11" s="120"/>
      <c r="P11" s="96">
        <f>SUM(J11:N11)</f>
        <v>223</v>
      </c>
      <c r="Q11" s="97">
        <f>IF(C11=2016, P11/3,P11)+O11</f>
        <v>223</v>
      </c>
      <c r="R11" s="101"/>
      <c r="S11" s="41">
        <f>0</f>
        <v>0</v>
      </c>
      <c r="T11" s="41"/>
      <c r="U11" s="41">
        <f>36</f>
        <v>36</v>
      </c>
      <c r="V11" s="41">
        <f>42</f>
        <v>42</v>
      </c>
      <c r="W11" s="41">
        <f>3</f>
        <v>3</v>
      </c>
      <c r="X11" s="94">
        <f>6+3</f>
        <v>9</v>
      </c>
      <c r="Y11" s="41">
        <v>12</v>
      </c>
      <c r="Z11" s="95">
        <f>2</f>
        <v>2</v>
      </c>
      <c r="AA11" s="96">
        <f>SUM(S11:Y11)</f>
        <v>102</v>
      </c>
      <c r="AB11" s="97">
        <f>IF(C11=2015, AA11/3,AA11)+Z11</f>
        <v>36</v>
      </c>
    </row>
    <row r="12" spans="1:47" x14ac:dyDescent="0.25">
      <c r="A12" s="11" t="s">
        <v>334</v>
      </c>
      <c r="B12" s="11" t="s">
        <v>0</v>
      </c>
      <c r="C12" s="3">
        <v>2012</v>
      </c>
      <c r="D12" s="1">
        <f>Q12+G12+F12+H12+E12</f>
        <v>952</v>
      </c>
      <c r="E12" s="177">
        <f>42+3+6+9</f>
        <v>60</v>
      </c>
      <c r="G12" s="50">
        <f>45+3+6</f>
        <v>54</v>
      </c>
      <c r="H12" s="120"/>
      <c r="J12" s="50">
        <f>18</f>
        <v>18</v>
      </c>
      <c r="K12" s="50">
        <f>66+42</f>
        <v>108</v>
      </c>
      <c r="L12" s="50">
        <f>165+39</f>
        <v>204</v>
      </c>
      <c r="M12" s="50">
        <f>24+51+3+3</f>
        <v>81</v>
      </c>
      <c r="N12" s="50">
        <f>AB12</f>
        <v>427</v>
      </c>
      <c r="O12" s="120"/>
      <c r="P12" s="96">
        <f>SUM(J12:N12)</f>
        <v>838</v>
      </c>
      <c r="Q12" s="97">
        <f>IF(C12=2016, P12/3,P12)+O12</f>
        <v>838</v>
      </c>
      <c r="R12" s="22"/>
      <c r="V12" s="50">
        <f>48+21</f>
        <v>69</v>
      </c>
      <c r="W12" s="50">
        <f>18+36</f>
        <v>54</v>
      </c>
      <c r="X12" s="50">
        <f>51+63+3+3</f>
        <v>120</v>
      </c>
      <c r="Y12" s="50">
        <f>184</f>
        <v>184</v>
      </c>
      <c r="Z12" s="95"/>
      <c r="AA12" s="96">
        <f>SUM(S12:Y12)</f>
        <v>427</v>
      </c>
      <c r="AB12" s="97">
        <f>IF(C12=2015, AA12/3,AA12)+Z12</f>
        <v>427</v>
      </c>
    </row>
    <row r="13" spans="1:47" x14ac:dyDescent="0.25">
      <c r="A13" s="45" t="s">
        <v>32</v>
      </c>
      <c r="B13" s="66" t="s">
        <v>0</v>
      </c>
      <c r="C13" s="46">
        <v>2015</v>
      </c>
      <c r="D13" s="1">
        <f>Q13+G13+F13+H13+E13</f>
        <v>514</v>
      </c>
      <c r="E13" s="162">
        <f>63+12+6+9</f>
        <v>90</v>
      </c>
      <c r="F13" s="162">
        <f>57+3+15+9</f>
        <v>84</v>
      </c>
      <c r="G13" s="162">
        <f>58+14+6</f>
        <v>78</v>
      </c>
      <c r="H13" s="120"/>
      <c r="J13" s="50">
        <f>36</f>
        <v>36</v>
      </c>
      <c r="K13" s="50">
        <f>52</f>
        <v>52</v>
      </c>
      <c r="L13" s="50">
        <f>80</f>
        <v>80</v>
      </c>
      <c r="M13" s="50">
        <f>48+3</f>
        <v>51</v>
      </c>
      <c r="N13" s="50">
        <f>AB13</f>
        <v>43</v>
      </c>
      <c r="O13" s="120"/>
      <c r="P13" s="96">
        <f>SUM(J13:N13)</f>
        <v>262</v>
      </c>
      <c r="Q13" s="97">
        <f>IF(C13=2016, P13/3,P13)+O13</f>
        <v>262</v>
      </c>
      <c r="R13" s="101"/>
      <c r="S13" s="41">
        <f>3</f>
        <v>3</v>
      </c>
      <c r="T13" s="41"/>
      <c r="U13" s="41">
        <f>39</f>
        <v>39</v>
      </c>
      <c r="V13" s="41">
        <f>39</f>
        <v>39</v>
      </c>
      <c r="W13" s="41">
        <f>12+3</f>
        <v>15</v>
      </c>
      <c r="X13" s="41">
        <f>12+6</f>
        <v>18</v>
      </c>
      <c r="Y13" s="41">
        <v>9</v>
      </c>
      <c r="Z13" s="95">
        <f>2</f>
        <v>2</v>
      </c>
      <c r="AA13" s="96">
        <f>SUM(S13:Y13)</f>
        <v>123</v>
      </c>
      <c r="AB13" s="97">
        <f>IF(C13=2015, AA13/3,AA13)+Z13</f>
        <v>43</v>
      </c>
    </row>
    <row r="14" spans="1:47" x14ac:dyDescent="0.25">
      <c r="A14" s="11" t="s">
        <v>493</v>
      </c>
      <c r="B14" s="60" t="s">
        <v>494</v>
      </c>
      <c r="C14" s="62">
        <v>2013</v>
      </c>
      <c r="D14" s="1">
        <f>Q14+G14+F14+H14+E14</f>
        <v>402</v>
      </c>
      <c r="E14" s="177">
        <f>69</f>
        <v>69</v>
      </c>
      <c r="F14" s="50">
        <f>72</f>
        <v>72</v>
      </c>
      <c r="G14" s="50">
        <f>57</f>
        <v>57</v>
      </c>
      <c r="H14" s="120"/>
      <c r="J14" s="50">
        <f>36</f>
        <v>36</v>
      </c>
      <c r="K14" s="50">
        <f>84</f>
        <v>84</v>
      </c>
      <c r="N14" s="50">
        <f>AB14</f>
        <v>84</v>
      </c>
      <c r="O14" s="120"/>
      <c r="P14" s="96">
        <f>SUM(J14:N14)</f>
        <v>204</v>
      </c>
      <c r="Q14" s="97">
        <f>IF(C14=2016, P14/3,P14)+O14</f>
        <v>204</v>
      </c>
      <c r="R14" s="22"/>
      <c r="S14" s="41"/>
      <c r="T14" s="41"/>
      <c r="U14" s="41"/>
      <c r="V14" s="41"/>
      <c r="W14" s="41"/>
      <c r="X14" s="41">
        <f>84</f>
        <v>84</v>
      </c>
      <c r="Y14" s="13"/>
      <c r="Z14" s="95"/>
      <c r="AA14" s="96">
        <f>SUM(S14:Y14)</f>
        <v>84</v>
      </c>
      <c r="AB14" s="97">
        <f>IF(C14=2015, AA14/3,AA14)+Z14</f>
        <v>84</v>
      </c>
    </row>
    <row r="15" spans="1:47" x14ac:dyDescent="0.25">
      <c r="A15" s="51" t="s">
        <v>48</v>
      </c>
      <c r="B15" s="51" t="s">
        <v>6</v>
      </c>
      <c r="C15" s="52">
        <v>2013</v>
      </c>
      <c r="D15" s="1">
        <f>Q15+G15+F15+H15+E15</f>
        <v>640</v>
      </c>
      <c r="H15" s="120"/>
      <c r="J15" s="50">
        <f>24</f>
        <v>24</v>
      </c>
      <c r="L15" s="50">
        <f>147+54</f>
        <v>201</v>
      </c>
      <c r="M15" s="50">
        <f>72</f>
        <v>72</v>
      </c>
      <c r="N15" s="50">
        <f>AB15</f>
        <v>343</v>
      </c>
      <c r="O15" s="120"/>
      <c r="P15" s="96">
        <f>SUM(J15:N15)</f>
        <v>640</v>
      </c>
      <c r="Q15" s="97">
        <f>IF(C15=2016, P15/3,P15)+O15</f>
        <v>640</v>
      </c>
      <c r="R15" s="22"/>
      <c r="S15" s="50">
        <f>0</f>
        <v>0</v>
      </c>
      <c r="U15" s="50">
        <f>87</f>
        <v>87</v>
      </c>
      <c r="V15" s="50">
        <f>84</f>
        <v>84</v>
      </c>
      <c r="W15" s="50">
        <f>24</f>
        <v>24</v>
      </c>
      <c r="X15" s="50">
        <f>51+30</f>
        <v>81</v>
      </c>
      <c r="Y15" s="50">
        <v>67</v>
      </c>
      <c r="Z15" s="95"/>
      <c r="AA15" s="96">
        <f>SUM(S15:Y15)</f>
        <v>343</v>
      </c>
      <c r="AB15" s="97">
        <f>IF(C15=2015, AA15/3,AA15)+Z15</f>
        <v>343</v>
      </c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</row>
    <row r="16" spans="1:47" x14ac:dyDescent="0.25">
      <c r="A16" s="11" t="s">
        <v>91</v>
      </c>
      <c r="B16" s="64" t="s">
        <v>86</v>
      </c>
      <c r="C16" s="62">
        <v>2012</v>
      </c>
      <c r="D16" s="1">
        <f>Q16+G16+F16+H16+E16</f>
        <v>359</v>
      </c>
      <c r="H16" s="120"/>
      <c r="K16" s="50">
        <f>78+48</f>
        <v>126</v>
      </c>
      <c r="L16" s="50">
        <f>135+45</f>
        <v>180</v>
      </c>
      <c r="N16" s="50">
        <f>AB16</f>
        <v>53</v>
      </c>
      <c r="O16" s="120"/>
      <c r="P16" s="96">
        <f>SUM(J16:N16)</f>
        <v>359</v>
      </c>
      <c r="Q16" s="97">
        <f>IF(C16=2016, P16/3,P16)+O16</f>
        <v>359</v>
      </c>
      <c r="R16" s="22"/>
      <c r="T16" s="50">
        <v>48</v>
      </c>
      <c r="Y16" s="36">
        <f>5</f>
        <v>5</v>
      </c>
      <c r="Z16" s="95"/>
      <c r="AA16" s="96">
        <f>SUM(S16:Y16)</f>
        <v>53</v>
      </c>
      <c r="AB16" s="97">
        <f>IF(C16=2015, AA16/3,AA16)+Z16</f>
        <v>53</v>
      </c>
    </row>
    <row r="17" spans="1:28" x14ac:dyDescent="0.25">
      <c r="A17" s="11" t="s">
        <v>93</v>
      </c>
      <c r="B17" s="60" t="s">
        <v>64</v>
      </c>
      <c r="C17" s="62">
        <v>2013</v>
      </c>
      <c r="D17" s="1">
        <f>Q17+G17+F17+H17+E17</f>
        <v>561</v>
      </c>
      <c r="E17" s="177">
        <f>57+18+9+6</f>
        <v>90</v>
      </c>
      <c r="F17" s="50">
        <f>66+18</f>
        <v>84</v>
      </c>
      <c r="G17" s="50">
        <f>24</f>
        <v>24</v>
      </c>
      <c r="H17" s="120"/>
      <c r="K17" s="50">
        <f>45</f>
        <v>45</v>
      </c>
      <c r="L17" s="50">
        <f>147</f>
        <v>147</v>
      </c>
      <c r="M17" s="50">
        <f>39+6</f>
        <v>45</v>
      </c>
      <c r="N17" s="50">
        <f>AB17</f>
        <v>126</v>
      </c>
      <c r="O17" s="120"/>
      <c r="P17" s="96">
        <f>SUM(J17:N17)</f>
        <v>363</v>
      </c>
      <c r="Q17" s="97">
        <f>IF(C17=2016, P17/3,P17)+O17</f>
        <v>363</v>
      </c>
      <c r="R17" s="22"/>
      <c r="T17" s="50">
        <f>42+6</f>
        <v>48</v>
      </c>
      <c r="U17" s="50">
        <f>72+6</f>
        <v>78</v>
      </c>
      <c r="Z17" s="95"/>
      <c r="AA17" s="96">
        <f>SUM(S17:Y17)</f>
        <v>126</v>
      </c>
      <c r="AB17" s="97">
        <f>IF(C17=2015, AA17/3,AA17)+Z17</f>
        <v>126</v>
      </c>
    </row>
    <row r="18" spans="1:28" x14ac:dyDescent="0.25">
      <c r="A18" s="11" t="s">
        <v>337</v>
      </c>
      <c r="B18" s="64" t="s">
        <v>0</v>
      </c>
      <c r="C18" s="62">
        <v>2013</v>
      </c>
      <c r="D18" s="1">
        <f>Q18+G18+F18+H18+E18</f>
        <v>412</v>
      </c>
      <c r="E18" s="177">
        <f>42+9</f>
        <v>51</v>
      </c>
      <c r="G18" s="50">
        <f>36+3+6</f>
        <v>45</v>
      </c>
      <c r="H18" s="120"/>
      <c r="J18" s="50">
        <f>32</f>
        <v>32</v>
      </c>
      <c r="K18" s="50">
        <f>36</f>
        <v>36</v>
      </c>
      <c r="L18" s="50">
        <f>42</f>
        <v>42</v>
      </c>
      <c r="M18" s="50">
        <f>44+3</f>
        <v>47</v>
      </c>
      <c r="N18" s="50">
        <f>AB18</f>
        <v>159</v>
      </c>
      <c r="O18" s="120"/>
      <c r="P18" s="96">
        <f>SUM(J18:N18)</f>
        <v>316</v>
      </c>
      <c r="Q18" s="97">
        <f>IF(C18=2016, P18/3,P18)+O18</f>
        <v>316</v>
      </c>
      <c r="R18" s="22"/>
      <c r="V18" s="50">
        <f>21</f>
        <v>21</v>
      </c>
      <c r="W18" s="50">
        <f>6</f>
        <v>6</v>
      </c>
      <c r="X18" s="50">
        <f>28+3</f>
        <v>31</v>
      </c>
      <c r="Y18" s="36">
        <v>101</v>
      </c>
      <c r="Z18" s="95"/>
      <c r="AA18" s="96">
        <f>SUM(S18:Y18)</f>
        <v>159</v>
      </c>
      <c r="AB18" s="97">
        <f>IF(C18=2015, AA18/3,AA18)+Z18</f>
        <v>159</v>
      </c>
    </row>
    <row r="19" spans="1:28" x14ac:dyDescent="0.25">
      <c r="A19" s="11" t="s">
        <v>410</v>
      </c>
      <c r="B19" s="60" t="s">
        <v>63</v>
      </c>
      <c r="C19" s="62">
        <v>2014</v>
      </c>
      <c r="D19" s="1">
        <f>Q19+G19+F19+H19+E19</f>
        <v>387</v>
      </c>
      <c r="E19" s="177">
        <f>42+3+3</f>
        <v>48</v>
      </c>
      <c r="F19" s="50">
        <f>100+12+6</f>
        <v>118</v>
      </c>
      <c r="G19" s="50">
        <f>54+6</f>
        <v>60</v>
      </c>
      <c r="H19" s="120"/>
      <c r="J19" s="50">
        <f>34</f>
        <v>34</v>
      </c>
      <c r="K19" s="50">
        <f>37</f>
        <v>37</v>
      </c>
      <c r="L19" s="50">
        <f>25</f>
        <v>25</v>
      </c>
      <c r="M19" s="50">
        <f>32</f>
        <v>32</v>
      </c>
      <c r="N19" s="50">
        <f>AB19</f>
        <v>33</v>
      </c>
      <c r="O19" s="120"/>
      <c r="P19" s="96">
        <f>SUM(J19:N19)</f>
        <v>161</v>
      </c>
      <c r="Q19" s="97">
        <f>IF(C19=2016, P19/3,P19)+O19</f>
        <v>161</v>
      </c>
      <c r="R19" s="22"/>
      <c r="S19" s="41"/>
      <c r="T19" s="41"/>
      <c r="U19" s="41"/>
      <c r="V19" s="41"/>
      <c r="W19" s="41">
        <f>10</f>
        <v>10</v>
      </c>
      <c r="X19" s="41">
        <f>23</f>
        <v>23</v>
      </c>
      <c r="Y19" s="13"/>
      <c r="Z19" s="95"/>
      <c r="AA19" s="96">
        <f>SUM(S19:Y19)</f>
        <v>33</v>
      </c>
      <c r="AB19" s="97">
        <f>IF(C19=2015, AA19/3,AA19)+Z19</f>
        <v>33</v>
      </c>
    </row>
    <row r="20" spans="1:28" x14ac:dyDescent="0.25">
      <c r="A20" s="11" t="s">
        <v>90</v>
      </c>
      <c r="B20" s="60" t="s">
        <v>64</v>
      </c>
      <c r="C20" s="62">
        <v>2013</v>
      </c>
      <c r="D20" s="1">
        <f>Q20+G20+F20+H20+E20</f>
        <v>576</v>
      </c>
      <c r="E20" s="177">
        <f>30+18+9+6</f>
        <v>63</v>
      </c>
      <c r="F20" s="50">
        <f>54+18</f>
        <v>72</v>
      </c>
      <c r="G20" s="50">
        <f>36</f>
        <v>36</v>
      </c>
      <c r="H20" s="120"/>
      <c r="K20" s="50">
        <f>15</f>
        <v>15</v>
      </c>
      <c r="L20" s="50">
        <f>147</f>
        <v>147</v>
      </c>
      <c r="M20" s="50">
        <f>48+6</f>
        <v>54</v>
      </c>
      <c r="N20" s="50">
        <f>AB20</f>
        <v>189</v>
      </c>
      <c r="O20" s="120"/>
      <c r="P20" s="96">
        <f>SUM(J20:N20)</f>
        <v>405</v>
      </c>
      <c r="Q20" s="97">
        <f>IF(C20=2016, P20/3,P20)+O20</f>
        <v>405</v>
      </c>
      <c r="R20" s="22"/>
      <c r="T20" s="50">
        <v>51</v>
      </c>
      <c r="U20" s="50">
        <f>78+3</f>
        <v>81</v>
      </c>
      <c r="V20" s="50">
        <f>48</f>
        <v>48</v>
      </c>
      <c r="Y20" s="36">
        <f>9</f>
        <v>9</v>
      </c>
      <c r="Z20" s="95"/>
      <c r="AA20" s="96">
        <f>SUM(S20:Y20)</f>
        <v>189</v>
      </c>
      <c r="AB20" s="97">
        <f>IF(C20=2015, AA20/3,AA20)+Z20</f>
        <v>189</v>
      </c>
    </row>
    <row r="21" spans="1:28" x14ac:dyDescent="0.25">
      <c r="A21" s="11" t="s">
        <v>130</v>
      </c>
      <c r="B21" s="60" t="s">
        <v>112</v>
      </c>
      <c r="C21" s="62">
        <v>2012</v>
      </c>
      <c r="D21" s="1">
        <f>Q21+G21+F21+H21+E21</f>
        <v>315</v>
      </c>
      <c r="E21" s="177">
        <f>0</f>
        <v>0</v>
      </c>
      <c r="F21" s="50">
        <f>22</f>
        <v>22</v>
      </c>
      <c r="H21" s="120">
        <f>6+6+6</f>
        <v>18</v>
      </c>
      <c r="J21" s="50">
        <f>18+6</f>
        <v>24</v>
      </c>
      <c r="K21" s="50">
        <f>24+39</f>
        <v>63</v>
      </c>
      <c r="L21" s="50">
        <f>13+3</f>
        <v>16</v>
      </c>
      <c r="M21" s="50">
        <f>18+21</f>
        <v>39</v>
      </c>
      <c r="N21" s="50">
        <f>AB21</f>
        <v>133</v>
      </c>
      <c r="O21" s="120"/>
      <c r="P21" s="96">
        <f>SUM(J21:N21)</f>
        <v>275</v>
      </c>
      <c r="Q21" s="97">
        <f>IF(C21=2016, P21/3,P21)+O21</f>
        <v>275</v>
      </c>
      <c r="R21" s="22"/>
      <c r="S21" s="41"/>
      <c r="T21" s="41">
        <v>20</v>
      </c>
      <c r="U21" s="41"/>
      <c r="V21" s="41">
        <f>36+5</f>
        <v>41</v>
      </c>
      <c r="W21" s="41">
        <f>10+15</f>
        <v>25</v>
      </c>
      <c r="X21" s="41">
        <f>32+15</f>
        <v>47</v>
      </c>
      <c r="Y21" s="13"/>
      <c r="Z21" s="95"/>
      <c r="AA21" s="96">
        <f>SUM(S21:Y21)</f>
        <v>133</v>
      </c>
      <c r="AB21" s="97">
        <f>IF(C21=2015, AA21/3,AA21)+Z21</f>
        <v>133</v>
      </c>
    </row>
    <row r="22" spans="1:28" x14ac:dyDescent="0.25">
      <c r="A22" s="71" t="s">
        <v>228</v>
      </c>
      <c r="B22" s="66" t="s">
        <v>0</v>
      </c>
      <c r="C22" s="72">
        <v>2016</v>
      </c>
      <c r="D22" s="1">
        <f>Q22+G22+F22+H22+E22</f>
        <v>350</v>
      </c>
      <c r="E22" s="160">
        <f>52+6+9</f>
        <v>67</v>
      </c>
      <c r="F22" s="160">
        <f>102+24+9</f>
        <v>135</v>
      </c>
      <c r="G22" s="160">
        <f>56+10+6</f>
        <v>72</v>
      </c>
      <c r="H22" s="122"/>
      <c r="I22" s="101"/>
      <c r="J22" s="108">
        <f>3+21</f>
        <v>24</v>
      </c>
      <c r="K22" s="108">
        <f>39+6</f>
        <v>45</v>
      </c>
      <c r="L22" s="108">
        <f>30+12</f>
        <v>42</v>
      </c>
      <c r="M22" s="108">
        <f>27</f>
        <v>27</v>
      </c>
      <c r="N22" s="108">
        <f>AB22</f>
        <v>90</v>
      </c>
      <c r="O22" s="122"/>
      <c r="P22" s="96">
        <f>SUM(J22:N22)</f>
        <v>228</v>
      </c>
      <c r="Q22" s="97">
        <f>IF(C22=2016, P22/3,P22)+O22</f>
        <v>76</v>
      </c>
      <c r="R22" s="101"/>
      <c r="S22" s="41"/>
      <c r="T22" s="41"/>
      <c r="U22" s="41">
        <f>33</f>
        <v>33</v>
      </c>
      <c r="V22" s="41"/>
      <c r="W22" s="41">
        <f>6</f>
        <v>6</v>
      </c>
      <c r="X22" s="41">
        <f>3+3</f>
        <v>6</v>
      </c>
      <c r="Y22" s="13">
        <f>45</f>
        <v>45</v>
      </c>
      <c r="AA22" s="96">
        <f>SUM(S22:Y22)</f>
        <v>90</v>
      </c>
      <c r="AB22" s="97">
        <f>IF(C22=2015, AA22/3,AA22)+Z22</f>
        <v>90</v>
      </c>
    </row>
    <row r="23" spans="1:28" x14ac:dyDescent="0.25">
      <c r="A23" s="71" t="s">
        <v>304</v>
      </c>
      <c r="B23" s="60" t="s">
        <v>0</v>
      </c>
      <c r="C23" s="72">
        <v>2013</v>
      </c>
      <c r="D23" s="1">
        <f>Q23+G23+F23+H23+E23</f>
        <v>551</v>
      </c>
      <c r="E23" s="177">
        <f>30+15+6+9</f>
        <v>60</v>
      </c>
      <c r="F23" s="50">
        <f>48+6+15+9</f>
        <v>78</v>
      </c>
      <c r="H23" s="120"/>
      <c r="J23" s="50">
        <f>30+3</f>
        <v>33</v>
      </c>
      <c r="K23" s="50">
        <f>30+36</f>
        <v>66</v>
      </c>
      <c r="L23" s="50">
        <f>37+5</f>
        <v>42</v>
      </c>
      <c r="M23" s="50">
        <f>44+36+3</f>
        <v>83</v>
      </c>
      <c r="N23" s="50">
        <f>AB23</f>
        <v>189</v>
      </c>
      <c r="O23" s="120"/>
      <c r="P23" s="96">
        <f>SUM(J23:N23)</f>
        <v>413</v>
      </c>
      <c r="Q23" s="97">
        <f>IF(C23=2016, P23/3,P23)+O23</f>
        <v>413</v>
      </c>
      <c r="R23" s="22"/>
      <c r="V23" s="50">
        <f>50</f>
        <v>50</v>
      </c>
      <c r="W23" s="50">
        <f>46</f>
        <v>46</v>
      </c>
      <c r="X23" s="50">
        <f>42+48+3</f>
        <v>93</v>
      </c>
      <c r="Z23" s="95"/>
      <c r="AA23" s="96">
        <f>SUM(S23:Y23)</f>
        <v>189</v>
      </c>
      <c r="AB23" s="97">
        <f>IF(C23=2015, AA23/3,AA23)+Z23</f>
        <v>189</v>
      </c>
    </row>
    <row r="24" spans="1:28" x14ac:dyDescent="0.25">
      <c r="A24" s="45" t="s">
        <v>30</v>
      </c>
      <c r="B24" s="66" t="s">
        <v>0</v>
      </c>
      <c r="C24" s="46">
        <v>2015</v>
      </c>
      <c r="D24" s="1">
        <f>Q24+G24+F24+H24+E24</f>
        <v>489</v>
      </c>
      <c r="E24" s="177">
        <f>54+12+6+9</f>
        <v>81</v>
      </c>
      <c r="F24" s="50">
        <f>104+3+15+9</f>
        <v>131</v>
      </c>
      <c r="G24" s="50">
        <f>52+14+3+6</f>
        <v>75</v>
      </c>
      <c r="H24" s="120"/>
      <c r="J24" s="50">
        <f>22</f>
        <v>22</v>
      </c>
      <c r="K24" s="50">
        <f>42</f>
        <v>42</v>
      </c>
      <c r="L24" s="50">
        <f>26</f>
        <v>26</v>
      </c>
      <c r="M24" s="50">
        <f>54+3</f>
        <v>57</v>
      </c>
      <c r="N24" s="50">
        <f>AB24</f>
        <v>55</v>
      </c>
      <c r="O24" s="120"/>
      <c r="P24" s="96">
        <f>SUM(J24:N24)</f>
        <v>202</v>
      </c>
      <c r="Q24" s="97">
        <f>IF(C24=2016, P24/3,P24)+O24</f>
        <v>202</v>
      </c>
      <c r="R24" s="101"/>
      <c r="S24" s="41">
        <f>6</f>
        <v>6</v>
      </c>
      <c r="T24" s="41"/>
      <c r="U24" s="41">
        <f>42</f>
        <v>42</v>
      </c>
      <c r="V24" s="41">
        <f>45</f>
        <v>45</v>
      </c>
      <c r="W24" s="41">
        <f>9+3</f>
        <v>12</v>
      </c>
      <c r="X24" s="41">
        <f>9+6</f>
        <v>15</v>
      </c>
      <c r="Y24" s="41">
        <v>30</v>
      </c>
      <c r="Z24" s="95">
        <f>2+3</f>
        <v>5</v>
      </c>
      <c r="AA24" s="96">
        <f>SUM(S24:Y24)</f>
        <v>150</v>
      </c>
      <c r="AB24" s="97">
        <f>IF(C24=2015, AA24/3,AA24)+Z24</f>
        <v>55</v>
      </c>
    </row>
    <row r="25" spans="1:28" x14ac:dyDescent="0.25">
      <c r="A25" s="11" t="s">
        <v>235</v>
      </c>
      <c r="B25" s="11" t="s">
        <v>0</v>
      </c>
      <c r="C25" s="3">
        <v>2012</v>
      </c>
      <c r="D25" s="1">
        <f>Q25+G25+F25+H25+E25</f>
        <v>1376</v>
      </c>
      <c r="E25" s="177">
        <f>72+21+6+9</f>
        <v>108</v>
      </c>
      <c r="F25" s="50">
        <f>69+12+15+9</f>
        <v>105</v>
      </c>
      <c r="G25" s="50">
        <f>54+3+3+6</f>
        <v>66</v>
      </c>
      <c r="H25" s="120"/>
      <c r="J25" s="50">
        <f>39+12</f>
        <v>51</v>
      </c>
      <c r="L25" s="50">
        <f>183+75</f>
        <v>258</v>
      </c>
      <c r="M25" s="50">
        <f>75+57+3+3</f>
        <v>138</v>
      </c>
      <c r="N25" s="50">
        <f>AB25</f>
        <v>650</v>
      </c>
      <c r="O25" s="120"/>
      <c r="P25" s="96">
        <f>SUM(J25:N25)</f>
        <v>1097</v>
      </c>
      <c r="Q25" s="97">
        <f>IF(C25=2016, P25/3,P25)+O25</f>
        <v>1097</v>
      </c>
      <c r="R25" s="22"/>
      <c r="S25" s="41"/>
      <c r="T25" s="41"/>
      <c r="U25" s="41">
        <f>84+15</f>
        <v>99</v>
      </c>
      <c r="V25" s="41">
        <f>78+24</f>
        <v>102</v>
      </c>
      <c r="W25" s="41">
        <f>21+45</f>
        <v>66</v>
      </c>
      <c r="X25" s="41">
        <f>87+72+3+3</f>
        <v>165</v>
      </c>
      <c r="Y25" s="13">
        <f>218</f>
        <v>218</v>
      </c>
      <c r="Z25" s="95"/>
      <c r="AA25" s="96">
        <f>SUM(S25:Y25)</f>
        <v>650</v>
      </c>
      <c r="AB25" s="97">
        <f>IF(C25=2015, AA25/3,AA25)+Z25</f>
        <v>650</v>
      </c>
    </row>
    <row r="26" spans="1:28" x14ac:dyDescent="0.25">
      <c r="A26" s="71" t="s">
        <v>426</v>
      </c>
      <c r="B26" s="11" t="s">
        <v>63</v>
      </c>
      <c r="C26" s="3">
        <v>2015</v>
      </c>
      <c r="D26" s="1">
        <f>Q26+G26+F26+H26+E26</f>
        <v>333.66666666666669</v>
      </c>
      <c r="E26" s="177">
        <f>50+8+3+3</f>
        <v>64</v>
      </c>
      <c r="F26" s="50">
        <f>50+22+12+6</f>
        <v>90</v>
      </c>
      <c r="G26" s="50">
        <f>50+12</f>
        <v>62</v>
      </c>
      <c r="H26" s="120"/>
      <c r="J26" s="50">
        <f>30</f>
        <v>30</v>
      </c>
      <c r="L26" s="50">
        <f>37</f>
        <v>37</v>
      </c>
      <c r="M26" s="50">
        <f>42</f>
        <v>42</v>
      </c>
      <c r="N26" s="50">
        <f>AB26</f>
        <v>8.6666666666666661</v>
      </c>
      <c r="O26" s="120"/>
      <c r="P26" s="96">
        <f>SUM(J26:N26)</f>
        <v>117.66666666666667</v>
      </c>
      <c r="Q26" s="97">
        <f>IF(C26=2016, P26/3,P26)+O26</f>
        <v>117.66666666666667</v>
      </c>
      <c r="R26" s="101"/>
      <c r="S26" s="41"/>
      <c r="T26" s="41"/>
      <c r="U26" s="41"/>
      <c r="V26" s="41"/>
      <c r="W26" s="41">
        <f>13</f>
        <v>13</v>
      </c>
      <c r="X26" s="41">
        <f>13</f>
        <v>13</v>
      </c>
      <c r="Y26" s="13"/>
      <c r="Z26" s="95"/>
      <c r="AA26" s="96">
        <f>SUM(S26:Y26)</f>
        <v>26</v>
      </c>
      <c r="AB26" s="97">
        <f>IF(C26=2015, AA26/3,AA26)+Z26</f>
        <v>8.6666666666666661</v>
      </c>
    </row>
    <row r="27" spans="1:28" x14ac:dyDescent="0.25">
      <c r="A27" s="11" t="s">
        <v>104</v>
      </c>
      <c r="B27" s="60" t="s">
        <v>64</v>
      </c>
      <c r="C27" s="62">
        <v>2013</v>
      </c>
      <c r="D27" s="1">
        <f>Q27+G27+F27+H27+E27</f>
        <v>406</v>
      </c>
      <c r="E27" s="177">
        <f>60+9+6</f>
        <v>75</v>
      </c>
      <c r="F27" s="50">
        <f>51+18</f>
        <v>69</v>
      </c>
      <c r="G27" s="50">
        <f>42</f>
        <v>42</v>
      </c>
      <c r="H27" s="120"/>
      <c r="K27" s="50">
        <f>30</f>
        <v>30</v>
      </c>
      <c r="L27" s="50">
        <f>126</f>
        <v>126</v>
      </c>
      <c r="M27" s="50">
        <f>39+6</f>
        <v>45</v>
      </c>
      <c r="N27" s="50">
        <f>AB27</f>
        <v>19</v>
      </c>
      <c r="O27" s="120"/>
      <c r="P27" s="96">
        <f>SUM(J27:N27)</f>
        <v>220</v>
      </c>
      <c r="Q27" s="97">
        <f>IF(C27=2016, P27/3,P27)+O27</f>
        <v>220</v>
      </c>
      <c r="R27" s="22"/>
      <c r="S27" s="41"/>
      <c r="T27" s="41">
        <v>0</v>
      </c>
      <c r="U27" s="41">
        <f>19</f>
        <v>19</v>
      </c>
      <c r="V27" s="41"/>
      <c r="W27" s="41"/>
      <c r="X27" s="41"/>
      <c r="Y27" s="13"/>
      <c r="Z27" s="95"/>
      <c r="AA27" s="96">
        <f>SUM(S27:Y27)</f>
        <v>19</v>
      </c>
      <c r="AB27" s="97">
        <f>IF(C27=2015, AA27/3,AA27)+Z27</f>
        <v>19</v>
      </c>
    </row>
    <row r="28" spans="1:28" x14ac:dyDescent="0.25">
      <c r="A28" s="71" t="s">
        <v>309</v>
      </c>
      <c r="B28" s="71" t="s">
        <v>0</v>
      </c>
      <c r="C28" s="72">
        <v>2012</v>
      </c>
      <c r="D28" s="1">
        <f>Q28+G28+F28+H28+E28</f>
        <v>390</v>
      </c>
      <c r="E28" s="177">
        <f>34+9</f>
        <v>43</v>
      </c>
      <c r="F28" s="50">
        <f>50+9</f>
        <v>59</v>
      </c>
      <c r="G28" s="50">
        <f>0+6</f>
        <v>6</v>
      </c>
      <c r="H28" s="120"/>
      <c r="J28" s="50">
        <f>18+3</f>
        <v>21</v>
      </c>
      <c r="K28" s="50">
        <f>24+36</f>
        <v>60</v>
      </c>
      <c r="L28" s="50">
        <f>46+5</f>
        <v>51</v>
      </c>
      <c r="M28" s="50">
        <f>36+3</f>
        <v>39</v>
      </c>
      <c r="N28" s="50">
        <f>AB28</f>
        <v>111</v>
      </c>
      <c r="O28" s="120"/>
      <c r="P28" s="96">
        <f>SUM(J28:N28)</f>
        <v>282</v>
      </c>
      <c r="Q28" s="97">
        <f>IF(C28=2016, P28/3,P28)+O28</f>
        <v>282</v>
      </c>
      <c r="R28" s="22"/>
      <c r="V28" s="50">
        <f>28</f>
        <v>28</v>
      </c>
      <c r="X28" s="50">
        <f>32+48+3</f>
        <v>83</v>
      </c>
      <c r="Z28" s="95"/>
      <c r="AA28" s="96">
        <f>SUM(S28:Y28)</f>
        <v>111</v>
      </c>
      <c r="AB28" s="97">
        <f>IF(C28=2015, AA28/3,AA28)+Z28</f>
        <v>111</v>
      </c>
    </row>
    <row r="29" spans="1:28" x14ac:dyDescent="0.25">
      <c r="A29" s="11" t="s">
        <v>113</v>
      </c>
      <c r="B29" s="60" t="s">
        <v>63</v>
      </c>
      <c r="C29" s="62">
        <v>2014</v>
      </c>
      <c r="D29" s="1">
        <f>Q29+G29+F29+H29+E29</f>
        <v>416</v>
      </c>
      <c r="E29" s="177">
        <f>30+3</f>
        <v>33</v>
      </c>
      <c r="F29" s="50">
        <f>42+3+6</f>
        <v>51</v>
      </c>
      <c r="G29" s="50">
        <f>30</f>
        <v>30</v>
      </c>
      <c r="H29" s="120"/>
      <c r="J29" s="50">
        <f>21</f>
        <v>21</v>
      </c>
      <c r="L29" s="50">
        <f>48</f>
        <v>48</v>
      </c>
      <c r="M29" s="50">
        <f>48</f>
        <v>48</v>
      </c>
      <c r="N29" s="50">
        <f>AB29</f>
        <v>185</v>
      </c>
      <c r="O29" s="120"/>
      <c r="P29" s="96">
        <f>SUM(J29:N29)</f>
        <v>302</v>
      </c>
      <c r="Q29" s="97">
        <f>IF(C29=2016, P29/3,P29)+O29</f>
        <v>302</v>
      </c>
      <c r="R29" s="22"/>
      <c r="S29" s="41"/>
      <c r="T29" s="41">
        <v>31</v>
      </c>
      <c r="U29" s="41">
        <f>48</f>
        <v>48</v>
      </c>
      <c r="V29" s="41">
        <f>18</f>
        <v>18</v>
      </c>
      <c r="W29" s="41">
        <f>15</f>
        <v>15</v>
      </c>
      <c r="X29" s="41">
        <f>42</f>
        <v>42</v>
      </c>
      <c r="Y29" s="13">
        <f>31</f>
        <v>31</v>
      </c>
      <c r="Z29" s="95"/>
      <c r="AA29" s="96">
        <f>SUM(S29:Y29)</f>
        <v>185</v>
      </c>
      <c r="AB29" s="97">
        <f>IF(C29=2015, AA29/3,AA29)+Z29</f>
        <v>185</v>
      </c>
    </row>
    <row r="30" spans="1:28" ht="14.25" customHeight="1" x14ac:dyDescent="0.25">
      <c r="A30" s="11" t="s">
        <v>97</v>
      </c>
      <c r="B30" s="61" t="s">
        <v>63</v>
      </c>
      <c r="C30" s="62">
        <v>2012</v>
      </c>
      <c r="D30" s="1">
        <f>Q30+G30+F30+H30+E30</f>
        <v>407</v>
      </c>
      <c r="E30" s="177">
        <f>0</f>
        <v>0</v>
      </c>
      <c r="F30" s="50">
        <f>27</f>
        <v>27</v>
      </c>
      <c r="G30" s="50">
        <f>18</f>
        <v>18</v>
      </c>
      <c r="H30" s="120"/>
      <c r="J30" s="50">
        <f>0</f>
        <v>0</v>
      </c>
      <c r="L30" s="50">
        <f>6+72</f>
        <v>78</v>
      </c>
      <c r="M30" s="50">
        <f>24+54</f>
        <v>78</v>
      </c>
      <c r="N30" s="50">
        <f>AB30</f>
        <v>206</v>
      </c>
      <c r="O30" s="120"/>
      <c r="P30" s="96">
        <f>SUM(J30:N30)</f>
        <v>362</v>
      </c>
      <c r="Q30" s="97">
        <f>IF(C30=2016, P30/3,P30)+O30</f>
        <v>362</v>
      </c>
      <c r="R30" s="22"/>
      <c r="T30" s="50">
        <f>18+3</f>
        <v>21</v>
      </c>
      <c r="V30" s="50">
        <f>27+6</f>
        <v>33</v>
      </c>
      <c r="X30" s="50">
        <f>24+60</f>
        <v>84</v>
      </c>
      <c r="Y30" s="36">
        <f>68</f>
        <v>68</v>
      </c>
      <c r="Z30" s="95"/>
      <c r="AA30" s="96">
        <f>SUM(S30:Y30)</f>
        <v>206</v>
      </c>
      <c r="AB30" s="97">
        <f>IF(C30=2015, AA30/3,AA30)+Z30</f>
        <v>206</v>
      </c>
    </row>
    <row r="31" spans="1:28" x14ac:dyDescent="0.25">
      <c r="A31" s="11" t="s">
        <v>396</v>
      </c>
      <c r="B31" s="60" t="s">
        <v>6</v>
      </c>
      <c r="C31" s="62">
        <v>2013</v>
      </c>
      <c r="D31" s="1">
        <f>Q31+G31+F31+H31+E31</f>
        <v>356</v>
      </c>
      <c r="F31" s="50">
        <f>15</f>
        <v>15</v>
      </c>
      <c r="H31" s="120"/>
      <c r="K31" s="50">
        <f>41</f>
        <v>41</v>
      </c>
      <c r="L31" s="50">
        <f>66+54</f>
        <v>120</v>
      </c>
      <c r="M31" s="50">
        <f>47+36</f>
        <v>83</v>
      </c>
      <c r="N31" s="50">
        <f>AB31</f>
        <v>97</v>
      </c>
      <c r="O31" s="120"/>
      <c r="P31" s="96">
        <f>SUM(J31:N31)</f>
        <v>341</v>
      </c>
      <c r="Q31" s="97">
        <f>IF(C31=2016, P31/3,P31)+O31</f>
        <v>341</v>
      </c>
      <c r="R31" s="22"/>
      <c r="W31" s="50">
        <f>47</f>
        <v>47</v>
      </c>
      <c r="X31" s="50">
        <f>50</f>
        <v>50</v>
      </c>
      <c r="Z31" s="95"/>
      <c r="AA31" s="96">
        <f>SUM(S31:Y31)</f>
        <v>97</v>
      </c>
      <c r="AB31" s="97">
        <f>IF(C31=2015, AA31/3,AA31)+Z31</f>
        <v>97</v>
      </c>
    </row>
    <row r="32" spans="1:28" x14ac:dyDescent="0.25">
      <c r="A32" s="11" t="s">
        <v>116</v>
      </c>
      <c r="B32" s="60" t="s">
        <v>63</v>
      </c>
      <c r="C32" s="62">
        <v>2013</v>
      </c>
      <c r="D32" s="1">
        <f>Q32+G32+F32+H32+E32</f>
        <v>584</v>
      </c>
      <c r="F32" s="50">
        <f>27+3+6</f>
        <v>36</v>
      </c>
      <c r="G32" s="50">
        <f>48</f>
        <v>48</v>
      </c>
      <c r="H32" s="120"/>
      <c r="J32" s="50">
        <f>27</f>
        <v>27</v>
      </c>
      <c r="K32" s="50">
        <f>60+45</f>
        <v>105</v>
      </c>
      <c r="M32" s="50">
        <f>69+48</f>
        <v>117</v>
      </c>
      <c r="N32" s="50">
        <f>AB32</f>
        <v>251</v>
      </c>
      <c r="O32" s="120"/>
      <c r="P32" s="96">
        <f>SUM(J32:N32)</f>
        <v>500</v>
      </c>
      <c r="Q32" s="97">
        <f>IF(C32=2016, P32/3,P32)+O32</f>
        <v>500</v>
      </c>
      <c r="R32" s="22"/>
      <c r="S32" s="41"/>
      <c r="T32" s="41">
        <v>38</v>
      </c>
      <c r="U32" s="41">
        <f>25</f>
        <v>25</v>
      </c>
      <c r="V32" s="41">
        <f>55+9</f>
        <v>64</v>
      </c>
      <c r="W32" s="41">
        <f>8+33</f>
        <v>41</v>
      </c>
      <c r="X32" s="41">
        <f>44+39</f>
        <v>83</v>
      </c>
      <c r="Y32" s="13"/>
      <c r="Z32" s="95"/>
      <c r="AA32" s="96">
        <f>SUM(S32:Y32)</f>
        <v>251</v>
      </c>
      <c r="AB32" s="97">
        <f>IF(C32=2015, AA32/3,AA32)+Z32</f>
        <v>251</v>
      </c>
    </row>
    <row r="33" spans="1:47" s="17" customFormat="1" x14ac:dyDescent="0.25">
      <c r="A33" s="199" t="s">
        <v>37</v>
      </c>
      <c r="B33" s="200"/>
      <c r="C33" s="201"/>
      <c r="D33" s="22"/>
      <c r="E33" s="177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96"/>
      <c r="Q33" s="97"/>
      <c r="R33" s="22"/>
      <c r="S33" s="50"/>
      <c r="T33" s="50"/>
      <c r="U33" s="50"/>
      <c r="V33" s="50"/>
      <c r="W33" s="50"/>
      <c r="X33" s="50"/>
      <c r="Y33" s="22"/>
      <c r="Z33" s="68"/>
      <c r="AA33" s="96">
        <f t="shared" ref="AA8:AA33" si="0">SUM(S33:Y33)</f>
        <v>0</v>
      </c>
      <c r="AB33" s="97">
        <f t="shared" ref="AB8:AB33" si="1">IF(C33=2015, AA33/3,AA33)+Z33</f>
        <v>0</v>
      </c>
    </row>
    <row r="34" spans="1:47" x14ac:dyDescent="0.25">
      <c r="A34" s="11" t="s">
        <v>558</v>
      </c>
      <c r="B34" s="60" t="s">
        <v>64</v>
      </c>
      <c r="C34" s="62">
        <v>2012</v>
      </c>
      <c r="D34" s="1">
        <f>Q34+G34+F34+H34+E34</f>
        <v>27</v>
      </c>
      <c r="H34" s="158"/>
      <c r="I34" s="22"/>
      <c r="M34" s="50">
        <f>27</f>
        <v>27</v>
      </c>
      <c r="O34" s="120"/>
      <c r="P34" s="96">
        <f>SUM(J34:N34)</f>
        <v>27</v>
      </c>
      <c r="Q34" s="97">
        <f>IF(C34=2016, P34/3,P34)+O34</f>
        <v>27</v>
      </c>
      <c r="R34" s="22"/>
      <c r="S34" s="182"/>
      <c r="T34" s="182"/>
      <c r="U34" s="182"/>
      <c r="V34" s="182"/>
      <c r="W34" s="182"/>
      <c r="X34" s="182"/>
      <c r="Y34" s="22"/>
      <c r="Z34" s="68"/>
      <c r="AA34" s="96">
        <f>SUM(S34:Y34)</f>
        <v>0</v>
      </c>
      <c r="AB34" s="97">
        <f>IF(C34=2015, AA34/3,AA34)+Z34</f>
        <v>0</v>
      </c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</row>
    <row r="35" spans="1:47" x14ac:dyDescent="0.25">
      <c r="A35" s="11" t="s">
        <v>43</v>
      </c>
      <c r="B35" s="60" t="s">
        <v>63</v>
      </c>
      <c r="C35" s="62">
        <v>2014</v>
      </c>
      <c r="D35" s="1">
        <f>Q35+G35+F35+H35+E35</f>
        <v>133</v>
      </c>
      <c r="H35" s="120"/>
      <c r="K35" s="50">
        <f>24</f>
        <v>24</v>
      </c>
      <c r="M35" s="50">
        <f>16</f>
        <v>16</v>
      </c>
      <c r="N35" s="50">
        <f>AB35</f>
        <v>93</v>
      </c>
      <c r="O35" s="120"/>
      <c r="P35" s="96">
        <f>SUM(J35:N35)</f>
        <v>133</v>
      </c>
      <c r="Q35" s="97">
        <f>IF(C35=2016, P35/3,P35)+O35</f>
        <v>133</v>
      </c>
      <c r="R35" s="22"/>
      <c r="S35" s="41">
        <f>4</f>
        <v>4</v>
      </c>
      <c r="T35" s="41">
        <v>27</v>
      </c>
      <c r="U35" s="41">
        <f>6</f>
        <v>6</v>
      </c>
      <c r="V35" s="41">
        <f>36</f>
        <v>36</v>
      </c>
      <c r="W35" s="41"/>
      <c r="X35" s="41">
        <f>20</f>
        <v>20</v>
      </c>
      <c r="Y35" s="13"/>
      <c r="Z35" s="95"/>
      <c r="AA35" s="96">
        <f>SUM(S35:Y35)</f>
        <v>93</v>
      </c>
      <c r="AB35" s="97">
        <f>IF(C35=2015, AA35/3,AA35)+Z35</f>
        <v>93</v>
      </c>
    </row>
    <row r="36" spans="1:47" x14ac:dyDescent="0.25">
      <c r="A36" s="11" t="s">
        <v>861</v>
      </c>
      <c r="B36" s="60" t="s">
        <v>409</v>
      </c>
      <c r="C36" s="62">
        <v>2012</v>
      </c>
      <c r="D36" s="1">
        <f>Q36+G36+F36+H36+E36</f>
        <v>27</v>
      </c>
      <c r="E36" s="177">
        <f>16+4</f>
        <v>20</v>
      </c>
      <c r="F36" s="50">
        <f>0+7</f>
        <v>7</v>
      </c>
      <c r="H36" s="120"/>
      <c r="N36" s="50">
        <f>AB36</f>
        <v>0</v>
      </c>
      <c r="O36" s="120"/>
      <c r="P36" s="96">
        <f>SUM(J36:N36)</f>
        <v>0</v>
      </c>
      <c r="Q36" s="97">
        <f>IF(C36=2016, P36/3,P36)+O36</f>
        <v>0</v>
      </c>
      <c r="R36" s="22"/>
      <c r="S36" s="41"/>
      <c r="T36" s="41"/>
      <c r="U36" s="41"/>
      <c r="V36" s="41"/>
      <c r="W36" s="41">
        <f>0</f>
        <v>0</v>
      </c>
      <c r="X36" s="41"/>
      <c r="Y36" s="13"/>
      <c r="Z36" s="95"/>
      <c r="AA36" s="96">
        <f>SUM(S36:Y36)</f>
        <v>0</v>
      </c>
      <c r="AB36" s="97">
        <f>IF(C36=2015, AA36/3,AA36)+Z36</f>
        <v>0</v>
      </c>
    </row>
    <row r="37" spans="1:47" x14ac:dyDescent="0.25">
      <c r="A37" s="11" t="s">
        <v>404</v>
      </c>
      <c r="B37" s="60" t="s">
        <v>112</v>
      </c>
      <c r="C37" s="62">
        <v>2012</v>
      </c>
      <c r="D37" s="1">
        <f>Q37+G37+F37+H37+E37</f>
        <v>221</v>
      </c>
      <c r="E37" s="177">
        <f>34</f>
        <v>34</v>
      </c>
      <c r="F37" s="50">
        <f>50</f>
        <v>50</v>
      </c>
      <c r="G37" s="50">
        <f>16</f>
        <v>16</v>
      </c>
      <c r="H37" s="120">
        <f>2+2+9</f>
        <v>13</v>
      </c>
      <c r="J37" s="50">
        <f>26</f>
        <v>26</v>
      </c>
      <c r="L37" s="50">
        <f>47+2</f>
        <v>49</v>
      </c>
      <c r="N37" s="50">
        <f>AB37</f>
        <v>21</v>
      </c>
      <c r="O37" s="120">
        <f>12</f>
        <v>12</v>
      </c>
      <c r="P37" s="96">
        <f>SUM(J37:N37)</f>
        <v>96</v>
      </c>
      <c r="Q37" s="97">
        <f>IF(C37=2016, P37/3,P37)+O37</f>
        <v>108</v>
      </c>
      <c r="R37" s="22"/>
      <c r="S37" s="41"/>
      <c r="T37" s="41"/>
      <c r="U37" s="41"/>
      <c r="V37" s="41"/>
      <c r="W37" s="41">
        <f>21</f>
        <v>21</v>
      </c>
      <c r="X37" s="41">
        <f>0</f>
        <v>0</v>
      </c>
      <c r="Y37" s="13"/>
      <c r="Z37" s="95"/>
      <c r="AA37" s="96">
        <f>SUM(S37:Y37)</f>
        <v>21</v>
      </c>
      <c r="AB37" s="97">
        <f>IF(C37=2015, AA37/3,AA37)+Z37</f>
        <v>21</v>
      </c>
    </row>
    <row r="38" spans="1:47" x14ac:dyDescent="0.25">
      <c r="A38" s="45" t="s">
        <v>297</v>
      </c>
      <c r="B38" s="66" t="s">
        <v>298</v>
      </c>
      <c r="C38" s="46">
        <v>2015</v>
      </c>
      <c r="D38" s="1">
        <f>Q38+G38+F38+H38+E38</f>
        <v>8.6666666666666661</v>
      </c>
      <c r="H38" s="120"/>
      <c r="N38" s="50">
        <f>AB38</f>
        <v>8.6666666666666661</v>
      </c>
      <c r="O38" s="120"/>
      <c r="P38" s="96">
        <f>SUM(J38:N38)</f>
        <v>8.6666666666666661</v>
      </c>
      <c r="Q38" s="97">
        <f>IF(C38=2016, P38/3,P38)+O38</f>
        <v>8.6666666666666661</v>
      </c>
      <c r="R38" s="101"/>
      <c r="S38" s="41"/>
      <c r="T38" s="41"/>
      <c r="U38" s="41"/>
      <c r="V38" s="41">
        <f>24+2</f>
        <v>26</v>
      </c>
      <c r="W38" s="41"/>
      <c r="X38" s="41"/>
      <c r="Y38" s="181"/>
      <c r="Z38" s="95"/>
      <c r="AA38" s="96">
        <f>SUM(S38:Y38)</f>
        <v>26</v>
      </c>
      <c r="AB38" s="97">
        <f>IF(C38=2015, AA38/3,AA38)+Z38</f>
        <v>8.6666666666666661</v>
      </c>
    </row>
    <row r="39" spans="1:47" x14ac:dyDescent="0.25">
      <c r="A39" s="11" t="s">
        <v>103</v>
      </c>
      <c r="B39" s="60" t="s">
        <v>64</v>
      </c>
      <c r="C39" s="62">
        <v>2012</v>
      </c>
      <c r="D39" s="1">
        <f>Q39+G39+F39+H39+E39</f>
        <v>21</v>
      </c>
      <c r="F39" s="50">
        <f>15</f>
        <v>15</v>
      </c>
      <c r="G39" s="50">
        <f>0+6</f>
        <v>6</v>
      </c>
      <c r="H39" s="120"/>
      <c r="M39" s="50">
        <f>0</f>
        <v>0</v>
      </c>
      <c r="N39" s="50">
        <f>AB39</f>
        <v>0</v>
      </c>
      <c r="O39" s="120"/>
      <c r="P39" s="96">
        <f>SUM(J39:N39)</f>
        <v>0</v>
      </c>
      <c r="Q39" s="97">
        <f>IF(C39=2016, P39/3,P39)+O39</f>
        <v>0</v>
      </c>
      <c r="R39" s="22"/>
      <c r="T39" s="50">
        <v>0</v>
      </c>
      <c r="Y39" s="22"/>
      <c r="Z39" s="95"/>
      <c r="AA39" s="96">
        <f>SUM(S39:Y39)</f>
        <v>0</v>
      </c>
      <c r="AB39" s="97">
        <f>IF(C39=2015, AA39/3,AA39)+Z39</f>
        <v>0</v>
      </c>
    </row>
    <row r="40" spans="1:47" x14ac:dyDescent="0.25">
      <c r="A40" s="11" t="s">
        <v>479</v>
      </c>
      <c r="B40" s="60" t="s">
        <v>301</v>
      </c>
      <c r="C40" s="62">
        <v>2014</v>
      </c>
      <c r="D40" s="1">
        <f>Q40+G40+F40+H40+E40</f>
        <v>23</v>
      </c>
      <c r="H40" s="120"/>
      <c r="I40" s="182"/>
      <c r="N40" s="50">
        <f>AB40</f>
        <v>23</v>
      </c>
      <c r="O40" s="120"/>
      <c r="P40" s="96">
        <f>SUM(J40:N40)</f>
        <v>23</v>
      </c>
      <c r="Q40" s="97">
        <f>IF(C40=2016, P40/3,P40)+O40</f>
        <v>23</v>
      </c>
      <c r="R40" s="22"/>
      <c r="X40" s="50">
        <f>23</f>
        <v>23</v>
      </c>
      <c r="Y40" s="22"/>
      <c r="Z40" s="95"/>
      <c r="AA40" s="96">
        <f>SUM(S40:Y40)</f>
        <v>23</v>
      </c>
      <c r="AB40" s="97">
        <f>IF(C40=2015, AA40/3,AA40)+Z40</f>
        <v>23</v>
      </c>
    </row>
    <row r="41" spans="1:47" x14ac:dyDescent="0.25">
      <c r="A41" s="11" t="s">
        <v>614</v>
      </c>
      <c r="B41" s="60" t="s">
        <v>23</v>
      </c>
      <c r="C41" s="62"/>
      <c r="D41" s="1">
        <f>Q41+G41+F41+H41+E41</f>
        <v>25</v>
      </c>
      <c r="H41" s="158"/>
      <c r="I41" s="22"/>
      <c r="L41" s="50">
        <f>25</f>
        <v>25</v>
      </c>
      <c r="O41" s="120"/>
      <c r="P41" s="96">
        <f>SUM(J41:N41)</f>
        <v>25</v>
      </c>
      <c r="Q41" s="97">
        <f>IF(C41=2016, P41/3,P41)+O41</f>
        <v>25</v>
      </c>
      <c r="R41" s="22"/>
      <c r="Y41" s="22"/>
      <c r="Z41" s="95"/>
      <c r="AA41" s="96">
        <f>SUM(S41:Y41)</f>
        <v>0</v>
      </c>
      <c r="AB41" s="97">
        <f>IF(C41=2015, AA41/3,AA41)+Z41</f>
        <v>0</v>
      </c>
    </row>
    <row r="42" spans="1:47" s="17" customFormat="1" x14ac:dyDescent="0.25">
      <c r="A42" s="11" t="s">
        <v>624</v>
      </c>
      <c r="B42" s="60" t="s">
        <v>6</v>
      </c>
      <c r="C42" s="62">
        <v>2015</v>
      </c>
      <c r="D42" s="1">
        <f>Q42+G42+F42+H42+E42</f>
        <v>28</v>
      </c>
      <c r="E42" s="177"/>
      <c r="F42" s="50"/>
      <c r="G42" s="50"/>
      <c r="H42" s="158"/>
      <c r="I42" s="22"/>
      <c r="J42" s="50"/>
      <c r="K42" s="50">
        <f>28</f>
        <v>28</v>
      </c>
      <c r="L42" s="50">
        <f>0</f>
        <v>0</v>
      </c>
      <c r="M42" s="50"/>
      <c r="N42" s="50"/>
      <c r="O42" s="120"/>
      <c r="P42" s="96">
        <f>SUM(J42:N42)</f>
        <v>28</v>
      </c>
      <c r="Q42" s="97">
        <f>IF(C42=2016, P42/3,P42)+O42</f>
        <v>28</v>
      </c>
      <c r="R42" s="22"/>
      <c r="S42" s="50"/>
      <c r="T42" s="50"/>
      <c r="U42" s="50"/>
      <c r="V42" s="50"/>
      <c r="W42" s="50"/>
      <c r="X42" s="50"/>
      <c r="Y42" s="22"/>
      <c r="Z42" s="95"/>
      <c r="AA42" s="96">
        <f>SUM(S42:Y42)</f>
        <v>0</v>
      </c>
      <c r="AB42" s="97">
        <f>IF(C42=2015, AA42/3,AA42)+Z42</f>
        <v>0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1:47" x14ac:dyDescent="0.25">
      <c r="A43" s="11" t="s">
        <v>487</v>
      </c>
      <c r="B43" s="60" t="s">
        <v>7</v>
      </c>
      <c r="C43" s="62">
        <v>2013</v>
      </c>
      <c r="D43" s="1">
        <f>Q43+G43+F43+H43+E43</f>
        <v>2</v>
      </c>
      <c r="H43" s="120"/>
      <c r="I43" s="182"/>
      <c r="L43" s="50">
        <f>2</f>
        <v>2</v>
      </c>
      <c r="N43" s="50">
        <f>AB43</f>
        <v>0</v>
      </c>
      <c r="O43" s="120"/>
      <c r="P43" s="96">
        <f>SUM(J43:N43)</f>
        <v>2</v>
      </c>
      <c r="Q43" s="97">
        <f>IF(C43=2016, P43/3,P43)+O43</f>
        <v>2</v>
      </c>
      <c r="R43" s="22"/>
      <c r="S43" s="41"/>
      <c r="T43" s="41"/>
      <c r="U43" s="41"/>
      <c r="V43" s="41"/>
      <c r="W43" s="41"/>
      <c r="X43" s="41">
        <f>0</f>
        <v>0</v>
      </c>
      <c r="Y43" s="13"/>
      <c r="Z43" s="95"/>
      <c r="AA43" s="96">
        <f>SUM(S43:Y43)</f>
        <v>0</v>
      </c>
      <c r="AB43" s="97">
        <f>IF(C43=2015, AA43/3,AA43)+Z43</f>
        <v>0</v>
      </c>
    </row>
    <row r="44" spans="1:47" x14ac:dyDescent="0.25">
      <c r="A44" s="11" t="s">
        <v>613</v>
      </c>
      <c r="B44" s="60" t="s">
        <v>233</v>
      </c>
      <c r="C44" s="62"/>
      <c r="D44" s="1">
        <f>Q44+G44+F44+H44+E44</f>
        <v>25</v>
      </c>
      <c r="H44" s="158"/>
      <c r="I44" s="22"/>
      <c r="L44" s="50">
        <f>25</f>
        <v>25</v>
      </c>
      <c r="O44" s="120"/>
      <c r="P44" s="96">
        <f>SUM(J44:N44)</f>
        <v>25</v>
      </c>
      <c r="Q44" s="97">
        <f>IF(C44=2016, P44/3,P44)+O44</f>
        <v>25</v>
      </c>
      <c r="R44" s="22"/>
      <c r="S44" s="157"/>
      <c r="T44" s="157"/>
      <c r="U44" s="157"/>
      <c r="V44" s="157"/>
      <c r="W44" s="157"/>
      <c r="X44" s="157"/>
      <c r="Y44" s="13"/>
      <c r="Z44" s="95"/>
      <c r="AA44" s="96">
        <f>SUM(S44:Y44)</f>
        <v>0</v>
      </c>
      <c r="AB44" s="97">
        <f>IF(C44=2015, AA44/3,AA44)+Z44</f>
        <v>0</v>
      </c>
    </row>
    <row r="45" spans="1:47" x14ac:dyDescent="0.25">
      <c r="A45" s="11" t="s">
        <v>311</v>
      </c>
      <c r="B45" s="60" t="s">
        <v>0</v>
      </c>
      <c r="C45" s="62">
        <v>2014</v>
      </c>
      <c r="D45" s="1">
        <f>Q45+G45+F45+H45+E45</f>
        <v>292</v>
      </c>
      <c r="E45" s="177">
        <f>34+9</f>
        <v>43</v>
      </c>
      <c r="F45" s="50">
        <f>50+9</f>
        <v>59</v>
      </c>
      <c r="H45" s="120"/>
      <c r="J45" s="50">
        <f>6</f>
        <v>6</v>
      </c>
      <c r="K45" s="50">
        <f>42</f>
        <v>42</v>
      </c>
      <c r="M45" s="50">
        <f>41</f>
        <v>41</v>
      </c>
      <c r="N45" s="50">
        <f>AB45</f>
        <v>101</v>
      </c>
      <c r="O45" s="120"/>
      <c r="P45" s="96">
        <f>SUM(J45:N45)</f>
        <v>190</v>
      </c>
      <c r="Q45" s="97">
        <f>IF(C45=2016, P45/3,P45)+O45</f>
        <v>190</v>
      </c>
      <c r="R45" s="22"/>
      <c r="S45" s="41"/>
      <c r="T45" s="41"/>
      <c r="U45" s="41"/>
      <c r="V45" s="41">
        <f>28+7</f>
        <v>35</v>
      </c>
      <c r="W45" s="41">
        <f>36+30</f>
        <v>66</v>
      </c>
      <c r="X45" s="41"/>
      <c r="Y45" s="13"/>
      <c r="Z45" s="95"/>
      <c r="AA45" s="96">
        <f>SUM(S45:Y45)</f>
        <v>101</v>
      </c>
      <c r="AB45" s="97">
        <f>IF(C45=2015, AA45/3,AA45)+Z45</f>
        <v>101</v>
      </c>
    </row>
    <row r="46" spans="1:47" x14ac:dyDescent="0.25">
      <c r="A46" s="45" t="s">
        <v>432</v>
      </c>
      <c r="B46" s="66" t="s">
        <v>409</v>
      </c>
      <c r="C46" s="46">
        <v>2015</v>
      </c>
      <c r="D46" s="1">
        <f>Q46+G46+F46+H46+E46</f>
        <v>2</v>
      </c>
      <c r="H46" s="120"/>
      <c r="N46" s="50">
        <f>AB46</f>
        <v>2</v>
      </c>
      <c r="O46" s="120"/>
      <c r="P46" s="96">
        <f>SUM(J46:N46)</f>
        <v>2</v>
      </c>
      <c r="Q46" s="97">
        <f>IF(C46=2016, P46/3,P46)+O46</f>
        <v>2</v>
      </c>
      <c r="R46" s="101"/>
      <c r="S46" s="41"/>
      <c r="T46" s="41"/>
      <c r="U46" s="41"/>
      <c r="V46" s="41"/>
      <c r="W46" s="41">
        <f>6</f>
        <v>6</v>
      </c>
      <c r="X46" s="41"/>
      <c r="Y46" s="181"/>
      <c r="Z46" s="95"/>
      <c r="AA46" s="96">
        <f>SUM(S46:Y46)</f>
        <v>6</v>
      </c>
      <c r="AB46" s="97">
        <f>IF(C46=2015, AA46/3,AA46)+Z46</f>
        <v>2</v>
      </c>
    </row>
    <row r="47" spans="1:47" x14ac:dyDescent="0.25">
      <c r="A47" s="11" t="s">
        <v>132</v>
      </c>
      <c r="B47" s="60" t="s">
        <v>64</v>
      </c>
      <c r="C47" s="62">
        <v>2013</v>
      </c>
      <c r="D47" s="1">
        <f>Q47+G47+F47+H47+E47</f>
        <v>14</v>
      </c>
      <c r="H47" s="120"/>
      <c r="N47" s="50">
        <f>AB47</f>
        <v>14</v>
      </c>
      <c r="O47" s="120"/>
      <c r="P47" s="96">
        <f>SUM(J47:N47)</f>
        <v>14</v>
      </c>
      <c r="Q47" s="97">
        <f>IF(C47=2016, P47/3,P47)+O47</f>
        <v>14</v>
      </c>
      <c r="R47" s="22"/>
      <c r="S47" s="41"/>
      <c r="T47" s="41">
        <v>8</v>
      </c>
      <c r="U47" s="41">
        <f>6</f>
        <v>6</v>
      </c>
      <c r="V47" s="41"/>
      <c r="W47" s="41"/>
      <c r="X47" s="41"/>
      <c r="Y47" s="13"/>
      <c r="Z47" s="95"/>
      <c r="AA47" s="96">
        <f>SUM(S47:Y47)</f>
        <v>14</v>
      </c>
      <c r="AB47" s="97">
        <f>IF(C47=2015, AA47/3,AA47)+Z47</f>
        <v>14</v>
      </c>
    </row>
    <row r="48" spans="1:47" x14ac:dyDescent="0.25">
      <c r="A48" s="71" t="s">
        <v>430</v>
      </c>
      <c r="B48" s="66" t="s">
        <v>0</v>
      </c>
      <c r="C48" s="46">
        <v>2016</v>
      </c>
      <c r="D48" s="1">
        <f>Q48+G48+F48+H48+E48</f>
        <v>84.666666666666671</v>
      </c>
      <c r="E48" s="160">
        <f>16+6</f>
        <v>22</v>
      </c>
      <c r="F48" s="160"/>
      <c r="G48" s="160">
        <f>28+8</f>
        <v>36</v>
      </c>
      <c r="H48" s="122"/>
      <c r="I48" s="101"/>
      <c r="J48" s="108">
        <f>3</f>
        <v>3</v>
      </c>
      <c r="K48" s="108">
        <f>27</f>
        <v>27</v>
      </c>
      <c r="L48" s="108">
        <f>23</f>
        <v>23</v>
      </c>
      <c r="M48" s="108">
        <f>18</f>
        <v>18</v>
      </c>
      <c r="N48" s="108">
        <f>AB48</f>
        <v>9</v>
      </c>
      <c r="O48" s="122"/>
      <c r="P48" s="96">
        <f>SUM(J48:N48)</f>
        <v>80</v>
      </c>
      <c r="Q48" s="97">
        <f>IF(C48=2016, P48/3,P48)+O48</f>
        <v>26.666666666666668</v>
      </c>
      <c r="R48" s="101"/>
      <c r="S48" s="41"/>
      <c r="T48" s="41"/>
      <c r="U48" s="41"/>
      <c r="V48" s="41"/>
      <c r="W48" s="41">
        <f>9</f>
        <v>9</v>
      </c>
      <c r="X48" s="41"/>
      <c r="Y48" s="78"/>
      <c r="AA48" s="96">
        <f>SUM(S48:Y48)</f>
        <v>9</v>
      </c>
      <c r="AB48" s="97">
        <f>IF(C48=2015, AA48/3,AA48)+Z48</f>
        <v>9</v>
      </c>
    </row>
    <row r="49" spans="1:47" x14ac:dyDescent="0.25">
      <c r="A49" s="11" t="s">
        <v>129</v>
      </c>
      <c r="B49" s="60" t="s">
        <v>63</v>
      </c>
      <c r="C49" s="62">
        <v>2012</v>
      </c>
      <c r="D49" s="1">
        <f>Q49+G49+F49+H49+E49</f>
        <v>207</v>
      </c>
      <c r="H49" s="120"/>
      <c r="L49" s="50">
        <f>12+33</f>
        <v>45</v>
      </c>
      <c r="M49" s="50">
        <f>38+45</f>
        <v>83</v>
      </c>
      <c r="N49" s="50">
        <f>AB49</f>
        <v>79</v>
      </c>
      <c r="O49" s="120"/>
      <c r="P49" s="96">
        <f>SUM(J49:N49)</f>
        <v>207</v>
      </c>
      <c r="Q49" s="97">
        <f>IF(C49=2016, P49/3,P49)+O49</f>
        <v>207</v>
      </c>
      <c r="R49" s="22"/>
      <c r="S49" s="41"/>
      <c r="T49" s="41">
        <v>20</v>
      </c>
      <c r="U49" s="41">
        <f>6</f>
        <v>6</v>
      </c>
      <c r="V49" s="41">
        <f>18</f>
        <v>18</v>
      </c>
      <c r="W49" s="41"/>
      <c r="X49" s="41">
        <f>20+15</f>
        <v>35</v>
      </c>
      <c r="Y49" s="13"/>
      <c r="Z49" s="95"/>
      <c r="AA49" s="96">
        <f>SUM(S49:Y49)</f>
        <v>79</v>
      </c>
      <c r="AB49" s="97">
        <f>IF(C49=2015, AA49/3,AA49)+Z49</f>
        <v>79</v>
      </c>
    </row>
    <row r="50" spans="1:47" x14ac:dyDescent="0.25">
      <c r="A50" s="71" t="s">
        <v>721</v>
      </c>
      <c r="B50" s="66" t="s">
        <v>63</v>
      </c>
      <c r="C50" s="46">
        <v>2016</v>
      </c>
      <c r="D50" s="1">
        <f>Q50+G50+F50+H50+E50</f>
        <v>0</v>
      </c>
      <c r="E50" s="160"/>
      <c r="F50" s="160"/>
      <c r="G50" s="160"/>
      <c r="H50" s="122"/>
      <c r="I50" s="101"/>
      <c r="J50" s="108">
        <f>0</f>
        <v>0</v>
      </c>
      <c r="K50" s="108"/>
      <c r="L50" s="108"/>
      <c r="M50" s="108"/>
      <c r="N50" s="108"/>
      <c r="O50" s="122"/>
      <c r="P50" s="96">
        <f>SUM(J50:N50)</f>
        <v>0</v>
      </c>
      <c r="Q50" s="97">
        <f>IF(C50=2016, P50/3,P50)+O50</f>
        <v>0</v>
      </c>
      <c r="R50" s="101"/>
      <c r="S50" s="41"/>
      <c r="T50" s="41"/>
      <c r="U50" s="41"/>
      <c r="V50" s="41"/>
      <c r="W50" s="41"/>
      <c r="X50" s="41"/>
      <c r="Y50" s="139"/>
      <c r="AA50" s="96">
        <f>SUM(S50:Y50)</f>
        <v>0</v>
      </c>
      <c r="AB50" s="97">
        <f>IF(C50=2015, AA50/3,AA50)+Z50</f>
        <v>0</v>
      </c>
    </row>
    <row r="51" spans="1:47" x14ac:dyDescent="0.25">
      <c r="A51" s="11" t="s">
        <v>265</v>
      </c>
      <c r="B51" s="60" t="s">
        <v>64</v>
      </c>
      <c r="C51" s="62">
        <v>2012</v>
      </c>
      <c r="D51" s="1">
        <f>Q51+G51+F51+H51+E51</f>
        <v>0</v>
      </c>
      <c r="H51" s="120"/>
      <c r="N51" s="50">
        <f>AB51</f>
        <v>0</v>
      </c>
      <c r="O51" s="120"/>
      <c r="P51" s="96">
        <f>SUM(J51:N51)</f>
        <v>0</v>
      </c>
      <c r="Q51" s="97">
        <f>IF(C51=2016, P51/3,P51)+O51</f>
        <v>0</v>
      </c>
      <c r="R51" s="22"/>
      <c r="S51" s="41"/>
      <c r="T51" s="41"/>
      <c r="U51" s="41">
        <f>0</f>
        <v>0</v>
      </c>
      <c r="V51" s="41"/>
      <c r="W51" s="41"/>
      <c r="X51" s="41"/>
      <c r="Y51" s="13"/>
      <c r="Z51" s="95"/>
      <c r="AA51" s="96">
        <f>SUM(S51:Y51)</f>
        <v>0</v>
      </c>
      <c r="AB51" s="97">
        <f>IF(C51=2015, AA51/3,AA51)+Z51</f>
        <v>0</v>
      </c>
    </row>
    <row r="52" spans="1:47" x14ac:dyDescent="0.25">
      <c r="A52" s="11" t="s">
        <v>406</v>
      </c>
      <c r="B52" s="60" t="s">
        <v>7</v>
      </c>
      <c r="C52" s="62">
        <v>2012</v>
      </c>
      <c r="D52" s="1">
        <f>Q52+G52+F52+H52+E52</f>
        <v>56</v>
      </c>
      <c r="E52" s="177">
        <f>0</f>
        <v>0</v>
      </c>
      <c r="F52" s="50">
        <f>0</f>
        <v>0</v>
      </c>
      <c r="G52" s="50">
        <f>0</f>
        <v>0</v>
      </c>
      <c r="H52" s="120"/>
      <c r="K52" s="50">
        <f>8+24</f>
        <v>32</v>
      </c>
      <c r="L52" s="50">
        <f>0</f>
        <v>0</v>
      </c>
      <c r="M52" s="50">
        <f>0+1</f>
        <v>1</v>
      </c>
      <c r="N52" s="50">
        <f>AB52</f>
        <v>23</v>
      </c>
      <c r="O52" s="120"/>
      <c r="P52" s="96">
        <f>SUM(J52:N52)</f>
        <v>56</v>
      </c>
      <c r="Q52" s="97">
        <f>IF(C52=2016, P52/3,P52)+O52</f>
        <v>56</v>
      </c>
      <c r="R52" s="22"/>
      <c r="S52" s="41"/>
      <c r="T52" s="41"/>
      <c r="U52" s="41"/>
      <c r="V52" s="41"/>
      <c r="W52" s="41">
        <f>21</f>
        <v>21</v>
      </c>
      <c r="X52" s="41">
        <f>0+2</f>
        <v>2</v>
      </c>
      <c r="Y52" s="13"/>
      <c r="Z52" s="95"/>
      <c r="AA52" s="96">
        <f>SUM(S52:Y52)</f>
        <v>23</v>
      </c>
      <c r="AB52" s="97">
        <f>IF(C52=2015, AA52/3,AA52)+Z52</f>
        <v>23</v>
      </c>
    </row>
    <row r="53" spans="1:47" x14ac:dyDescent="0.25">
      <c r="A53" s="11" t="s">
        <v>342</v>
      </c>
      <c r="B53" s="60" t="s">
        <v>7</v>
      </c>
      <c r="C53" s="62">
        <v>2012</v>
      </c>
      <c r="D53" s="1">
        <f>Q53+G53+F53+H53+E53</f>
        <v>14</v>
      </c>
      <c r="H53" s="120"/>
      <c r="M53" s="50">
        <f>0+3+1</f>
        <v>4</v>
      </c>
      <c r="N53" s="50">
        <f>AB53</f>
        <v>10</v>
      </c>
      <c r="O53" s="120"/>
      <c r="P53" s="96">
        <f>SUM(J53:N53)</f>
        <v>14</v>
      </c>
      <c r="Q53" s="97">
        <f>IF(C53=2016, P53/3,P53)+O53</f>
        <v>14</v>
      </c>
      <c r="R53" s="22"/>
      <c r="S53" s="41"/>
      <c r="T53" s="41"/>
      <c r="U53" s="41"/>
      <c r="V53" s="41">
        <f>0</f>
        <v>0</v>
      </c>
      <c r="W53" s="41">
        <f>10</f>
        <v>10</v>
      </c>
      <c r="X53" s="41"/>
      <c r="Y53" s="13"/>
      <c r="Z53" s="95"/>
      <c r="AA53" s="96">
        <f>SUM(S53:Y53)</f>
        <v>10</v>
      </c>
      <c r="AB53" s="97">
        <f>IF(C53=2015, AA53/3,AA53)+Z53</f>
        <v>10</v>
      </c>
    </row>
    <row r="54" spans="1:47" x14ac:dyDescent="0.25">
      <c r="A54" s="11" t="s">
        <v>424</v>
      </c>
      <c r="B54" s="60" t="s">
        <v>7</v>
      </c>
      <c r="C54" s="62">
        <v>2014</v>
      </c>
      <c r="D54" s="1">
        <f>Q54+G54+F54+H54+E54</f>
        <v>48</v>
      </c>
      <c r="F54" s="50">
        <f>0</f>
        <v>0</v>
      </c>
      <c r="H54" s="120"/>
      <c r="K54" s="50">
        <f>0</f>
        <v>0</v>
      </c>
      <c r="L54" s="50">
        <f>2</f>
        <v>2</v>
      </c>
      <c r="M54" s="50">
        <f>18</f>
        <v>18</v>
      </c>
      <c r="N54" s="50">
        <f>AB54</f>
        <v>28</v>
      </c>
      <c r="O54" s="120"/>
      <c r="P54" s="96">
        <f>SUM(J54:N54)</f>
        <v>48</v>
      </c>
      <c r="Q54" s="97">
        <f>IF(C54=2016, P54/3,P54)+O54</f>
        <v>48</v>
      </c>
      <c r="R54" s="22"/>
      <c r="S54" s="41"/>
      <c r="T54" s="41"/>
      <c r="U54" s="41"/>
      <c r="V54" s="41"/>
      <c r="W54" s="41">
        <f>0</f>
        <v>0</v>
      </c>
      <c r="X54" s="41">
        <f>28</f>
        <v>28</v>
      </c>
      <c r="Y54" s="13"/>
      <c r="Z54" s="95"/>
      <c r="AA54" s="96">
        <f>SUM(S54:Y54)</f>
        <v>28</v>
      </c>
      <c r="AB54" s="97">
        <f>IF(C54=2015, AA54/3,AA54)+Z54</f>
        <v>28</v>
      </c>
    </row>
    <row r="55" spans="1:47" x14ac:dyDescent="0.25">
      <c r="A55" s="11" t="s">
        <v>697</v>
      </c>
      <c r="B55" s="60" t="s">
        <v>7</v>
      </c>
      <c r="C55" s="62">
        <v>2013</v>
      </c>
      <c r="D55" s="1">
        <f>Q55+G55+F55+H55+E55</f>
        <v>39</v>
      </c>
      <c r="F55" s="50">
        <f>22</f>
        <v>22</v>
      </c>
      <c r="G55" s="50">
        <f>0</f>
        <v>0</v>
      </c>
      <c r="H55" s="158"/>
      <c r="I55" s="22"/>
      <c r="K55" s="50">
        <f>17</f>
        <v>17</v>
      </c>
      <c r="O55" s="120"/>
      <c r="P55" s="96">
        <f>SUM(J55:N55)</f>
        <v>17</v>
      </c>
      <c r="Q55" s="97">
        <f>IF(C55=2016, P55/3,P55)+O55</f>
        <v>17</v>
      </c>
      <c r="R55" s="22"/>
      <c r="S55" s="157"/>
      <c r="T55" s="157"/>
      <c r="U55" s="157"/>
      <c r="V55" s="157"/>
      <c r="W55" s="157"/>
      <c r="X55" s="157"/>
      <c r="Y55" s="13"/>
      <c r="Z55" s="95"/>
      <c r="AA55" s="96">
        <f>SUM(S55:Y55)</f>
        <v>0</v>
      </c>
      <c r="AB55" s="97">
        <f>IF(C55=2015, AA55/3,AA55)+Z55</f>
        <v>0</v>
      </c>
    </row>
    <row r="56" spans="1:47" x14ac:dyDescent="0.25">
      <c r="A56" s="11" t="s">
        <v>231</v>
      </c>
      <c r="B56" s="11" t="s">
        <v>232</v>
      </c>
      <c r="C56" s="3">
        <v>2016</v>
      </c>
      <c r="D56" s="1">
        <f>Q56+G56+F56+H56+E56</f>
        <v>21</v>
      </c>
      <c r="E56" s="160"/>
      <c r="F56" s="160"/>
      <c r="G56" s="160"/>
      <c r="H56" s="122"/>
      <c r="I56" s="101"/>
      <c r="J56" s="108"/>
      <c r="K56" s="108"/>
      <c r="L56" s="108"/>
      <c r="M56" s="108"/>
      <c r="N56" s="108">
        <f>AB56</f>
        <v>63</v>
      </c>
      <c r="O56" s="122"/>
      <c r="P56" s="96">
        <f>SUM(J56:N56)</f>
        <v>63</v>
      </c>
      <c r="Q56" s="97">
        <f>IF(C56=2016, P56/3,P56)+O56</f>
        <v>21</v>
      </c>
      <c r="R56" s="101"/>
      <c r="S56" s="41"/>
      <c r="T56" s="41"/>
      <c r="U56" s="41">
        <f>24</f>
        <v>24</v>
      </c>
      <c r="V56" s="41">
        <f>36</f>
        <v>36</v>
      </c>
      <c r="W56" s="41"/>
      <c r="X56" s="41">
        <f>0</f>
        <v>0</v>
      </c>
      <c r="Y56" s="41">
        <f>3</f>
        <v>3</v>
      </c>
      <c r="AA56" s="96">
        <f>SUM(S56:Y56)</f>
        <v>63</v>
      </c>
      <c r="AB56" s="97">
        <f>IF(C56=2015, AA56/3,AA56)+Z56</f>
        <v>63</v>
      </c>
    </row>
    <row r="57" spans="1:47" x14ac:dyDescent="0.25">
      <c r="A57" s="11" t="s">
        <v>429</v>
      </c>
      <c r="B57" s="11" t="s">
        <v>63</v>
      </c>
      <c r="C57" s="3">
        <v>2015</v>
      </c>
      <c r="D57" s="1">
        <f>Q57+G57+F57+H57+E57</f>
        <v>281.66666666666669</v>
      </c>
      <c r="E57" s="177">
        <f>54+8+3+3</f>
        <v>68</v>
      </c>
      <c r="F57" s="50">
        <f>22+22+12+6</f>
        <v>62</v>
      </c>
      <c r="G57" s="50">
        <f>38+12</f>
        <v>50</v>
      </c>
      <c r="H57" s="120"/>
      <c r="J57" s="50">
        <f>6</f>
        <v>6</v>
      </c>
      <c r="K57" s="50">
        <f>39</f>
        <v>39</v>
      </c>
      <c r="L57" s="50">
        <f>50</f>
        <v>50</v>
      </c>
      <c r="N57" s="50">
        <f>AB57</f>
        <v>6.666666666666667</v>
      </c>
      <c r="O57" s="120"/>
      <c r="P57" s="96">
        <f>SUM(J57:N57)</f>
        <v>101.66666666666667</v>
      </c>
      <c r="Q57" s="97">
        <f>IF(C57=2016, P57/3,P57)+O57</f>
        <v>101.66666666666667</v>
      </c>
      <c r="R57" s="101"/>
      <c r="S57" s="41"/>
      <c r="T57" s="41"/>
      <c r="U57" s="41"/>
      <c r="V57" s="41"/>
      <c r="W57" s="41">
        <f>10</f>
        <v>10</v>
      </c>
      <c r="X57" s="41">
        <f>10</f>
        <v>10</v>
      </c>
      <c r="Y57" s="41"/>
      <c r="Z57" s="95"/>
      <c r="AA57" s="96">
        <f>SUM(S57:Y57)</f>
        <v>20</v>
      </c>
      <c r="AB57" s="97">
        <f>IF(C57=2015, AA57/3,AA57)+Z57</f>
        <v>6.666666666666667</v>
      </c>
    </row>
    <row r="58" spans="1:47" x14ac:dyDescent="0.25">
      <c r="A58" s="11" t="s">
        <v>483</v>
      </c>
      <c r="B58" s="60" t="s">
        <v>7</v>
      </c>
      <c r="C58" s="62">
        <v>2013</v>
      </c>
      <c r="D58" s="1">
        <f>Q58+G58+F58+H58+E58</f>
        <v>0</v>
      </c>
      <c r="H58" s="120"/>
      <c r="M58" s="50">
        <f>0</f>
        <v>0</v>
      </c>
      <c r="N58" s="50">
        <f>AB58</f>
        <v>0</v>
      </c>
      <c r="O58" s="120"/>
      <c r="P58" s="96">
        <f>SUM(J58:N58)</f>
        <v>0</v>
      </c>
      <c r="Q58" s="97">
        <f>IF(C58=2016, P58/3,P58)+O58</f>
        <v>0</v>
      </c>
      <c r="R58" s="22"/>
      <c r="S58" s="41"/>
      <c r="T58" s="41"/>
      <c r="U58" s="41"/>
      <c r="V58" s="41"/>
      <c r="W58" s="41"/>
      <c r="X58" s="41">
        <f>0</f>
        <v>0</v>
      </c>
      <c r="Y58" s="13"/>
      <c r="Z58" s="95"/>
      <c r="AA58" s="96">
        <f>SUM(S58:Y58)</f>
        <v>0</v>
      </c>
      <c r="AB58" s="97">
        <f>IF(C58=2015, AA58/3,AA58)+Z58</f>
        <v>0</v>
      </c>
    </row>
    <row r="59" spans="1:47" x14ac:dyDescent="0.25">
      <c r="A59" s="11" t="s">
        <v>122</v>
      </c>
      <c r="B59" s="60" t="s">
        <v>87</v>
      </c>
      <c r="C59" s="62">
        <v>2012</v>
      </c>
      <c r="D59" s="1">
        <f>Q59+G59+F59+H59+E59</f>
        <v>69</v>
      </c>
      <c r="H59" s="120"/>
      <c r="N59" s="50">
        <f>AB59</f>
        <v>69</v>
      </c>
      <c r="O59" s="120"/>
      <c r="P59" s="96">
        <f>SUM(J59:N59)</f>
        <v>69</v>
      </c>
      <c r="Q59" s="97">
        <f>IF(C59=2016, P59/3,P59)+O59</f>
        <v>69</v>
      </c>
      <c r="R59" s="22"/>
      <c r="S59" s="41"/>
      <c r="T59" s="67">
        <f>27+6</f>
        <v>33</v>
      </c>
      <c r="U59" s="41"/>
      <c r="V59" s="41">
        <f>28+8</f>
        <v>36</v>
      </c>
      <c r="W59" s="41"/>
      <c r="X59" s="41"/>
      <c r="Y59" s="13"/>
      <c r="Z59" s="95"/>
      <c r="AA59" s="96">
        <f>SUM(S59:Y59)</f>
        <v>69</v>
      </c>
      <c r="AB59" s="97">
        <f>IF(C59=2015, AA59/3,AA59)+Z59</f>
        <v>69</v>
      </c>
    </row>
    <row r="60" spans="1:47" x14ac:dyDescent="0.25">
      <c r="A60" s="11" t="s">
        <v>478</v>
      </c>
      <c r="B60" s="60" t="s">
        <v>7</v>
      </c>
      <c r="C60" s="62">
        <v>2014</v>
      </c>
      <c r="D60" s="1">
        <f>Q60+G60+F60+H60+E60</f>
        <v>42</v>
      </c>
      <c r="H60" s="120"/>
      <c r="K60" s="50">
        <f>0</f>
        <v>0</v>
      </c>
      <c r="L60" s="50">
        <f>6</f>
        <v>6</v>
      </c>
      <c r="M60" s="50">
        <f>13</f>
        <v>13</v>
      </c>
      <c r="N60" s="50">
        <f>AB60</f>
        <v>23</v>
      </c>
      <c r="O60" s="120"/>
      <c r="P60" s="96">
        <f>SUM(J60:N60)</f>
        <v>42</v>
      </c>
      <c r="Q60" s="97">
        <f>IF(C60=2016, P60/3,P60)+O60</f>
        <v>42</v>
      </c>
      <c r="R60" s="22"/>
      <c r="S60" s="41"/>
      <c r="T60" s="67"/>
      <c r="U60" s="41"/>
      <c r="V60" s="41"/>
      <c r="W60" s="41"/>
      <c r="X60" s="41">
        <f>23</f>
        <v>23</v>
      </c>
      <c r="Y60" s="13"/>
      <c r="Z60" s="95"/>
      <c r="AA60" s="96">
        <f>SUM(S60:Y60)</f>
        <v>23</v>
      </c>
      <c r="AB60" s="97">
        <f>IF(C60=2015, AA60/3,AA60)+Z60</f>
        <v>23</v>
      </c>
    </row>
    <row r="61" spans="1:47" x14ac:dyDescent="0.25">
      <c r="A61" s="71" t="s">
        <v>254</v>
      </c>
      <c r="B61" s="71" t="s">
        <v>233</v>
      </c>
      <c r="C61" s="72">
        <v>2013</v>
      </c>
      <c r="D61" s="1">
        <f>Q61+G61+F61+H61+E61</f>
        <v>0</v>
      </c>
      <c r="H61" s="120"/>
      <c r="N61" s="50">
        <f>AB61</f>
        <v>0</v>
      </c>
      <c r="O61" s="120"/>
      <c r="P61" s="96">
        <f>SUM(J61:N61)</f>
        <v>0</v>
      </c>
      <c r="Q61" s="97">
        <f>IF(C61=2016, P61/3,P61)+O61</f>
        <v>0</v>
      </c>
      <c r="R61" s="22"/>
      <c r="U61" s="50">
        <f>0</f>
        <v>0</v>
      </c>
      <c r="Z61" s="95"/>
      <c r="AA61" s="96">
        <f>SUM(S61:Y61)</f>
        <v>0</v>
      </c>
      <c r="AB61" s="97">
        <f>IF(C61=2015, AA61/3,AA61)+Z61</f>
        <v>0</v>
      </c>
    </row>
    <row r="62" spans="1:47" x14ac:dyDescent="0.25">
      <c r="A62" s="11" t="s">
        <v>45</v>
      </c>
      <c r="B62" s="11" t="s">
        <v>36</v>
      </c>
      <c r="C62" s="3">
        <v>2012</v>
      </c>
      <c r="D62" s="1">
        <f>Q62+G62+F62+H62+E62</f>
        <v>207</v>
      </c>
      <c r="H62" s="120"/>
      <c r="I62" s="182"/>
      <c r="L62" s="50">
        <f>50</f>
        <v>50</v>
      </c>
      <c r="M62" s="50">
        <f>40+21</f>
        <v>61</v>
      </c>
      <c r="N62" s="50">
        <f>AB62</f>
        <v>96</v>
      </c>
      <c r="O62" s="120"/>
      <c r="P62" s="96">
        <f>SUM(J62:N62)</f>
        <v>207</v>
      </c>
      <c r="Q62" s="97">
        <f>IF(C62=2016, P62/3,P62)+O62</f>
        <v>207</v>
      </c>
      <c r="R62" s="22"/>
      <c r="S62" s="50">
        <v>0</v>
      </c>
      <c r="V62" s="50">
        <f>44</f>
        <v>44</v>
      </c>
      <c r="X62" s="50">
        <f>37+15</f>
        <v>52</v>
      </c>
      <c r="Z62" s="95"/>
      <c r="AA62" s="96">
        <f>SUM(S62:Y62)</f>
        <v>96</v>
      </c>
      <c r="AB62" s="97">
        <f>IF(C62=2015, AA62/3,AA62)+Z62</f>
        <v>96</v>
      </c>
    </row>
    <row r="63" spans="1:47" s="52" customFormat="1" x14ac:dyDescent="0.25">
      <c r="A63" s="71" t="s">
        <v>631</v>
      </c>
      <c r="B63" s="71" t="s">
        <v>605</v>
      </c>
      <c r="C63" s="72"/>
      <c r="D63" s="1">
        <f>Q63+G63+F63+H63+E63</f>
        <v>21</v>
      </c>
      <c r="E63" s="177"/>
      <c r="F63" s="50"/>
      <c r="G63" s="50"/>
      <c r="H63" s="158"/>
      <c r="I63" s="22"/>
      <c r="J63" s="50"/>
      <c r="K63" s="50"/>
      <c r="L63" s="50">
        <f>21</f>
        <v>21</v>
      </c>
      <c r="M63" s="50"/>
      <c r="N63" s="50"/>
      <c r="O63" s="120"/>
      <c r="P63" s="96">
        <f>SUM(J63:N63)</f>
        <v>21</v>
      </c>
      <c r="Q63" s="97">
        <f>IF(C63=2016, P63/3,P63)+O63</f>
        <v>21</v>
      </c>
      <c r="R63" s="22"/>
      <c r="S63" s="50"/>
      <c r="T63" s="50"/>
      <c r="U63" s="50"/>
      <c r="V63" s="50"/>
      <c r="W63" s="50"/>
      <c r="X63" s="50"/>
      <c r="Y63" s="36"/>
      <c r="Z63" s="95"/>
      <c r="AA63" s="96">
        <f>SUM(S63:Y63)</f>
        <v>0</v>
      </c>
      <c r="AB63" s="97">
        <f>IF(C63=2015, AA63/3,AA63)+Z63</f>
        <v>0</v>
      </c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  <row r="64" spans="1:47" x14ac:dyDescent="0.25">
      <c r="A64" s="11" t="s">
        <v>133</v>
      </c>
      <c r="B64" s="60" t="s">
        <v>64</v>
      </c>
      <c r="C64" s="62">
        <v>2013</v>
      </c>
      <c r="D64" s="1">
        <f>Q64+G64+F64+H64+E64</f>
        <v>8</v>
      </c>
      <c r="H64" s="120"/>
      <c r="N64" s="50">
        <f>AB64</f>
        <v>8</v>
      </c>
      <c r="O64" s="120"/>
      <c r="P64" s="96">
        <f>SUM(J64:N64)</f>
        <v>8</v>
      </c>
      <c r="Q64" s="97">
        <f>IF(C64=2016, P64/3,P64)+O64</f>
        <v>8</v>
      </c>
      <c r="R64" s="22"/>
      <c r="S64" s="41"/>
      <c r="T64" s="41">
        <v>8</v>
      </c>
      <c r="U64" s="41">
        <f>0</f>
        <v>0</v>
      </c>
      <c r="V64" s="41"/>
      <c r="W64" s="41"/>
      <c r="X64" s="41"/>
      <c r="Y64" s="13"/>
      <c r="Z64" s="95"/>
      <c r="AA64" s="96">
        <f>SUM(S64:Y64)</f>
        <v>8</v>
      </c>
      <c r="AB64" s="97">
        <f>IF(C64=2015, AA64/3,AA64)+Z64</f>
        <v>8</v>
      </c>
    </row>
    <row r="65" spans="1:47" x14ac:dyDescent="0.25">
      <c r="A65" s="11" t="s">
        <v>125</v>
      </c>
      <c r="B65" s="60" t="s">
        <v>64</v>
      </c>
      <c r="C65" s="62"/>
      <c r="D65" s="1">
        <f>Q65+G65+F65+H65+E65</f>
        <v>20</v>
      </c>
      <c r="H65" s="120"/>
      <c r="N65" s="50">
        <f>AB65</f>
        <v>20</v>
      </c>
      <c r="O65" s="120"/>
      <c r="P65" s="96">
        <f>SUM(J65:N65)</f>
        <v>20</v>
      </c>
      <c r="Q65" s="97">
        <f>IF(C65=2016, P65/3,P65)+O65</f>
        <v>20</v>
      </c>
      <c r="R65" s="22"/>
      <c r="S65" s="41"/>
      <c r="T65" s="41">
        <v>20</v>
      </c>
      <c r="U65" s="41"/>
      <c r="V65" s="41"/>
      <c r="W65" s="41"/>
      <c r="X65" s="41"/>
      <c r="Y65" s="13"/>
      <c r="Z65" s="95"/>
      <c r="AA65" s="96">
        <f>SUM(S65:Y65)</f>
        <v>20</v>
      </c>
      <c r="AB65" s="97">
        <f>IF(C65=2015, AA65/3,AA65)+Z65</f>
        <v>20</v>
      </c>
    </row>
    <row r="66" spans="1:47" s="52" customFormat="1" x14ac:dyDescent="0.25">
      <c r="A66" s="11" t="s">
        <v>321</v>
      </c>
      <c r="B66" s="60" t="s">
        <v>274</v>
      </c>
      <c r="C66" s="62">
        <v>2012</v>
      </c>
      <c r="D66" s="1">
        <f>Q66+G66+F66+H66+E66</f>
        <v>0</v>
      </c>
      <c r="E66" s="177"/>
      <c r="F66" s="50"/>
      <c r="G66" s="50"/>
      <c r="H66" s="120"/>
      <c r="I66" s="50"/>
      <c r="J66" s="50"/>
      <c r="K66" s="50"/>
      <c r="L66" s="50"/>
      <c r="M66" s="50"/>
      <c r="N66" s="50">
        <f>AB66</f>
        <v>0</v>
      </c>
      <c r="O66" s="120"/>
      <c r="P66" s="96">
        <f>SUM(J66:N66)</f>
        <v>0</v>
      </c>
      <c r="Q66" s="97">
        <f>IF(C66=2016, P66/3,P66)+O66</f>
        <v>0</v>
      </c>
      <c r="R66" s="22"/>
      <c r="S66" s="41"/>
      <c r="T66" s="41"/>
      <c r="U66" s="41"/>
      <c r="V66" s="41">
        <f>0</f>
        <v>0</v>
      </c>
      <c r="W66" s="41"/>
      <c r="X66" s="41"/>
      <c r="Y66" s="13"/>
      <c r="Z66" s="95"/>
      <c r="AA66" s="96">
        <f>SUM(S66:Y66)</f>
        <v>0</v>
      </c>
      <c r="AB66" s="97">
        <f>IF(C66=2015, AA66/3,AA66)+Z66</f>
        <v>0</v>
      </c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1:47" x14ac:dyDescent="0.25">
      <c r="A67" s="11" t="s">
        <v>428</v>
      </c>
      <c r="B67" s="11" t="s">
        <v>0</v>
      </c>
      <c r="C67" s="3">
        <v>2016</v>
      </c>
      <c r="D67" s="1">
        <f>Q67+G67+F67+H67+E67</f>
        <v>28.666666666666668</v>
      </c>
      <c r="E67" s="160"/>
      <c r="F67" s="160"/>
      <c r="G67" s="160"/>
      <c r="H67" s="122"/>
      <c r="I67" s="101"/>
      <c r="J67" s="108"/>
      <c r="K67" s="108">
        <f>24+6</f>
        <v>30</v>
      </c>
      <c r="L67" s="108">
        <f>27+12</f>
        <v>39</v>
      </c>
      <c r="M67" s="108">
        <f>6</f>
        <v>6</v>
      </c>
      <c r="N67" s="108">
        <f>AB67</f>
        <v>11</v>
      </c>
      <c r="O67" s="122"/>
      <c r="P67" s="96">
        <f>SUM(J67:N67)</f>
        <v>86</v>
      </c>
      <c r="Q67" s="97">
        <f>IF(C67=2016, P67/3,P67)+O67</f>
        <v>28.666666666666668</v>
      </c>
      <c r="R67" s="101"/>
      <c r="S67" s="41"/>
      <c r="T67" s="41"/>
      <c r="U67" s="41"/>
      <c r="V67" s="41"/>
      <c r="W67" s="41">
        <f>11</f>
        <v>11</v>
      </c>
      <c r="X67" s="41"/>
      <c r="Y67" s="41"/>
      <c r="Z67" s="74"/>
      <c r="AA67" s="96">
        <f>SUM(S67:Y67)</f>
        <v>11</v>
      </c>
      <c r="AB67" s="97">
        <f>IF(C67=2015, AA67/3,AA67)+Z67</f>
        <v>11</v>
      </c>
    </row>
    <row r="68" spans="1:47" x14ac:dyDescent="0.25">
      <c r="A68" s="11" t="s">
        <v>258</v>
      </c>
      <c r="B68" s="60" t="s">
        <v>64</v>
      </c>
      <c r="C68" s="62">
        <v>2013</v>
      </c>
      <c r="D68" s="1">
        <f>Q68+G68+F68+H68+E68</f>
        <v>167</v>
      </c>
      <c r="E68" s="177">
        <f>0+9+6</f>
        <v>15</v>
      </c>
      <c r="F68" s="50">
        <f>27+18</f>
        <v>45</v>
      </c>
      <c r="G68" s="50">
        <f>18</f>
        <v>18</v>
      </c>
      <c r="H68" s="120"/>
      <c r="K68" s="50">
        <f>0</f>
        <v>0</v>
      </c>
      <c r="L68" s="50">
        <f>21</f>
        <v>21</v>
      </c>
      <c r="M68" s="50">
        <f>18+6</f>
        <v>24</v>
      </c>
      <c r="N68" s="50">
        <f>AB68</f>
        <v>44</v>
      </c>
      <c r="O68" s="120"/>
      <c r="P68" s="96">
        <f>SUM(J68:N68)</f>
        <v>89</v>
      </c>
      <c r="Q68" s="97">
        <f>IF(C68=2016, P68/3,P68)+O68</f>
        <v>89</v>
      </c>
      <c r="R68" s="22"/>
      <c r="S68" s="41"/>
      <c r="T68" s="41"/>
      <c r="U68" s="41">
        <f>23+3</f>
        <v>26</v>
      </c>
      <c r="V68" s="41">
        <f>18</f>
        <v>18</v>
      </c>
      <c r="W68" s="41"/>
      <c r="X68" s="41"/>
      <c r="Y68" s="13"/>
      <c r="Z68" s="95"/>
      <c r="AA68" s="96">
        <f>SUM(S68:Y68)</f>
        <v>44</v>
      </c>
      <c r="AB68" s="97">
        <f>IF(C68=2015, AA68/3,AA68)+Z68</f>
        <v>44</v>
      </c>
    </row>
    <row r="69" spans="1:47" x14ac:dyDescent="0.25">
      <c r="A69" s="11" t="s">
        <v>295</v>
      </c>
      <c r="B69" s="11" t="s">
        <v>233</v>
      </c>
      <c r="C69" s="3">
        <v>2015</v>
      </c>
      <c r="D69" s="1">
        <f>Q69+G69+F69+H69+E69</f>
        <v>16</v>
      </c>
      <c r="H69" s="120"/>
      <c r="N69" s="50">
        <f>AB69</f>
        <v>16</v>
      </c>
      <c r="O69" s="120"/>
      <c r="P69" s="96">
        <f>SUM(J69:N69)</f>
        <v>16</v>
      </c>
      <c r="Q69" s="97">
        <f>IF(C69=2016, P69/3,P69)+O69</f>
        <v>16</v>
      </c>
      <c r="R69" s="101"/>
      <c r="S69" s="41"/>
      <c r="T69" s="41"/>
      <c r="U69" s="41"/>
      <c r="V69" s="41">
        <f>48</f>
        <v>48</v>
      </c>
      <c r="W69" s="41"/>
      <c r="X69" s="41"/>
      <c r="Y69" s="41"/>
      <c r="Z69" s="95"/>
      <c r="AA69" s="96">
        <f>SUM(S69:Y69)</f>
        <v>48</v>
      </c>
      <c r="AB69" s="97">
        <f>IF(C69=2015, AA69/3,AA69)+Z69</f>
        <v>16</v>
      </c>
    </row>
    <row r="70" spans="1:47" x14ac:dyDescent="0.25">
      <c r="A70" s="11" t="s">
        <v>634</v>
      </c>
      <c r="B70" s="11" t="s">
        <v>605</v>
      </c>
      <c r="D70" s="1">
        <f>Q70+G70+F70+H70+E70</f>
        <v>21</v>
      </c>
      <c r="E70" s="160"/>
      <c r="F70" s="160"/>
      <c r="G70" s="160"/>
      <c r="H70" s="158"/>
      <c r="I70" s="101"/>
      <c r="L70" s="50">
        <f>21</f>
        <v>21</v>
      </c>
      <c r="O70" s="120"/>
      <c r="P70" s="96">
        <f>SUM(J70:N70)</f>
        <v>21</v>
      </c>
      <c r="Q70" s="97">
        <f>IF(C70=2016, P70/3,P70)+O70</f>
        <v>21</v>
      </c>
      <c r="R70" s="101"/>
      <c r="S70" s="157"/>
      <c r="T70" s="157"/>
      <c r="U70" s="157"/>
      <c r="V70" s="157"/>
      <c r="W70" s="157"/>
      <c r="X70" s="157"/>
      <c r="Y70" s="157"/>
      <c r="Z70" s="95"/>
      <c r="AA70" s="96">
        <f>SUM(S70:Y70)</f>
        <v>0</v>
      </c>
      <c r="AB70" s="97">
        <f>IF(C70=2015, AA70/3,AA70)+Z70</f>
        <v>0</v>
      </c>
    </row>
    <row r="71" spans="1:47" x14ac:dyDescent="0.25">
      <c r="A71" s="11" t="s">
        <v>316</v>
      </c>
      <c r="B71" s="60" t="s">
        <v>0</v>
      </c>
      <c r="C71" s="62">
        <v>2014</v>
      </c>
      <c r="D71" s="1">
        <f>Q71+G71+F71+H71+E71</f>
        <v>26</v>
      </c>
      <c r="E71" s="182"/>
      <c r="F71" s="182"/>
      <c r="G71" s="182"/>
      <c r="H71" s="120"/>
      <c r="I71" s="182"/>
      <c r="K71" s="50">
        <f>8</f>
        <v>8</v>
      </c>
      <c r="N71" s="50">
        <f>AB71</f>
        <v>18</v>
      </c>
      <c r="O71" s="120"/>
      <c r="P71" s="96">
        <f>SUM(J71:N71)</f>
        <v>26</v>
      </c>
      <c r="Q71" s="97">
        <f>IF(C71=2016, P71/3,P71)+O71</f>
        <v>26</v>
      </c>
      <c r="R71" s="22"/>
      <c r="S71" s="41"/>
      <c r="T71" s="41"/>
      <c r="U71" s="41"/>
      <c r="V71" s="41">
        <f>16</f>
        <v>16</v>
      </c>
      <c r="W71" s="41">
        <f>0</f>
        <v>0</v>
      </c>
      <c r="X71" s="41">
        <f>2</f>
        <v>2</v>
      </c>
      <c r="Y71" s="13"/>
      <c r="Z71" s="95"/>
      <c r="AA71" s="96">
        <f>SUM(S71:Y71)</f>
        <v>18</v>
      </c>
      <c r="AB71" s="97">
        <f>IF(C71=2015, AA71/3,AA71)+Z71</f>
        <v>18</v>
      </c>
    </row>
    <row r="72" spans="1:47" x14ac:dyDescent="0.25">
      <c r="A72" s="11" t="s">
        <v>692</v>
      </c>
      <c r="B72" s="11" t="s">
        <v>7</v>
      </c>
      <c r="C72" s="3">
        <v>2012</v>
      </c>
      <c r="D72" s="1">
        <f>Q72+G72+F72+H72+E72</f>
        <v>163</v>
      </c>
      <c r="E72" s="160">
        <f>44</f>
        <v>44</v>
      </c>
      <c r="F72" s="160">
        <f>72</f>
        <v>72</v>
      </c>
      <c r="G72" s="160">
        <f>16</f>
        <v>16</v>
      </c>
      <c r="H72" s="158"/>
      <c r="I72" s="101"/>
      <c r="K72" s="50">
        <f>31</f>
        <v>31</v>
      </c>
      <c r="O72" s="120"/>
      <c r="P72" s="96">
        <f>SUM(J72:N72)</f>
        <v>31</v>
      </c>
      <c r="Q72" s="97">
        <f>IF(C72=2016, P72/3,P72)+O72</f>
        <v>31</v>
      </c>
      <c r="R72" s="101"/>
      <c r="S72" s="157"/>
      <c r="T72" s="157"/>
      <c r="U72" s="157"/>
      <c r="V72" s="157"/>
      <c r="W72" s="157"/>
      <c r="X72" s="157"/>
      <c r="Y72" s="157"/>
      <c r="Z72" s="95"/>
      <c r="AA72" s="96">
        <f>SUM(S72:Y72)</f>
        <v>0</v>
      </c>
      <c r="AB72" s="97">
        <f>IF(C72=2015, AA72/3,AA72)+Z72</f>
        <v>0</v>
      </c>
    </row>
    <row r="73" spans="1:47" x14ac:dyDescent="0.25">
      <c r="A73" s="11" t="s">
        <v>421</v>
      </c>
      <c r="B73" s="60" t="s">
        <v>63</v>
      </c>
      <c r="C73" s="62">
        <v>2014</v>
      </c>
      <c r="D73" s="1">
        <f>Q73+G73+F73+H73+E73</f>
        <v>0</v>
      </c>
      <c r="E73" s="182"/>
      <c r="F73" s="182"/>
      <c r="G73" s="182"/>
      <c r="H73" s="120"/>
      <c r="I73" s="182"/>
      <c r="N73" s="50">
        <f>AB73</f>
        <v>0</v>
      </c>
      <c r="O73" s="120"/>
      <c r="P73" s="96">
        <f>SUM(J73:N73)</f>
        <v>0</v>
      </c>
      <c r="Q73" s="97">
        <f>IF(C73=2016, P73/3,P73)+O73</f>
        <v>0</v>
      </c>
      <c r="R73" s="22"/>
      <c r="S73" s="41"/>
      <c r="T73" s="41"/>
      <c r="U73" s="41"/>
      <c r="V73" s="41"/>
      <c r="W73" s="41">
        <f>0</f>
        <v>0</v>
      </c>
      <c r="X73" s="41"/>
      <c r="Y73" s="13"/>
      <c r="Z73" s="95"/>
      <c r="AA73" s="96">
        <f>SUM(S73:Y73)</f>
        <v>0</v>
      </c>
      <c r="AB73" s="97">
        <f>IF(C73=2015, AA73/3,AA73)+Z73</f>
        <v>0</v>
      </c>
    </row>
    <row r="74" spans="1:47" x14ac:dyDescent="0.25">
      <c r="A74" s="11" t="s">
        <v>433</v>
      </c>
      <c r="B74" s="11" t="s">
        <v>36</v>
      </c>
      <c r="C74" s="3">
        <v>2016</v>
      </c>
      <c r="D74" s="1">
        <f>Q74+G74+F74+H74+E74</f>
        <v>7</v>
      </c>
      <c r="E74" s="160"/>
      <c r="F74" s="160"/>
      <c r="G74" s="160"/>
      <c r="H74" s="122"/>
      <c r="I74" s="101"/>
      <c r="J74" s="108"/>
      <c r="K74" s="108">
        <f>0</f>
        <v>0</v>
      </c>
      <c r="L74" s="108">
        <f>12</f>
        <v>12</v>
      </c>
      <c r="M74" s="108">
        <f>0</f>
        <v>0</v>
      </c>
      <c r="N74" s="108">
        <f>AB74</f>
        <v>9</v>
      </c>
      <c r="O74" s="122"/>
      <c r="P74" s="96">
        <f>SUM(J74:N74)</f>
        <v>21</v>
      </c>
      <c r="Q74" s="97">
        <f>IF(C74=2016, P74/3,P74)+O74</f>
        <v>7</v>
      </c>
      <c r="R74" s="101"/>
      <c r="S74" s="41"/>
      <c r="T74" s="41"/>
      <c r="U74" s="41"/>
      <c r="V74" s="41"/>
      <c r="W74" s="41">
        <f>6</f>
        <v>6</v>
      </c>
      <c r="X74" s="41">
        <f>3</f>
        <v>3</v>
      </c>
      <c r="Y74" s="41"/>
      <c r="Z74" s="41"/>
      <c r="AA74" s="96">
        <f>SUM(S74:Y74)</f>
        <v>9</v>
      </c>
      <c r="AB74" s="97">
        <f>IF(C74=2015, AA74/3,AA74)+Z74</f>
        <v>9</v>
      </c>
    </row>
    <row r="75" spans="1:47" x14ac:dyDescent="0.25">
      <c r="A75" s="11" t="s">
        <v>314</v>
      </c>
      <c r="B75" s="60" t="s">
        <v>0</v>
      </c>
      <c r="C75" s="62">
        <v>2014</v>
      </c>
      <c r="D75" s="1">
        <f>Q75+G75+F75+H75+E75</f>
        <v>96</v>
      </c>
      <c r="H75" s="120"/>
      <c r="K75" s="50">
        <f>8</f>
        <v>8</v>
      </c>
      <c r="L75" s="50">
        <f>6</f>
        <v>6</v>
      </c>
      <c r="M75" s="50">
        <f>18</f>
        <v>18</v>
      </c>
      <c r="N75" s="50">
        <f>AB75</f>
        <v>64</v>
      </c>
      <c r="O75" s="120"/>
      <c r="P75" s="96">
        <f>SUM(J75:N75)</f>
        <v>96</v>
      </c>
      <c r="Q75" s="97">
        <f>IF(C75=2016, P75/3,P75)+O75</f>
        <v>96</v>
      </c>
      <c r="R75" s="22"/>
      <c r="S75" s="41"/>
      <c r="T75" s="41"/>
      <c r="U75" s="41"/>
      <c r="V75" s="41">
        <f>18</f>
        <v>18</v>
      </c>
      <c r="W75" s="41">
        <f>27</f>
        <v>27</v>
      </c>
      <c r="X75" s="41">
        <f>17+2</f>
        <v>19</v>
      </c>
      <c r="Y75" s="13"/>
      <c r="Z75" s="95"/>
      <c r="AA75" s="96">
        <f>SUM(S75:Y75)</f>
        <v>64</v>
      </c>
      <c r="AB75" s="97">
        <f>IF(C75=2015, AA75/3,AA75)+Z75</f>
        <v>64</v>
      </c>
    </row>
    <row r="76" spans="1:47" x14ac:dyDescent="0.25">
      <c r="A76" s="11" t="s">
        <v>340</v>
      </c>
      <c r="B76" s="60" t="s">
        <v>7</v>
      </c>
      <c r="C76" s="62">
        <v>2013</v>
      </c>
      <c r="D76" s="1">
        <f>Q76+G76+F76+H76+E76</f>
        <v>63</v>
      </c>
      <c r="E76" s="177">
        <f>0</f>
        <v>0</v>
      </c>
      <c r="H76" s="120"/>
      <c r="K76" s="50">
        <f>8</f>
        <v>8</v>
      </c>
      <c r="L76" s="50">
        <f>32</f>
        <v>32</v>
      </c>
      <c r="M76" s="50">
        <f>0+3+1</f>
        <v>4</v>
      </c>
      <c r="N76" s="50">
        <f>AB76</f>
        <v>19</v>
      </c>
      <c r="O76" s="120"/>
      <c r="P76" s="96">
        <f>SUM(J76:N76)</f>
        <v>63</v>
      </c>
      <c r="Q76" s="97">
        <f>IF(C76=2016, P76/3,P76)+O76</f>
        <v>63</v>
      </c>
      <c r="R76" s="22"/>
      <c r="S76" s="41"/>
      <c r="T76" s="41"/>
      <c r="U76" s="41"/>
      <c r="V76" s="41">
        <f>0+3</f>
        <v>3</v>
      </c>
      <c r="W76" s="41"/>
      <c r="X76" s="41">
        <f>14+2</f>
        <v>16</v>
      </c>
      <c r="Y76" s="13"/>
      <c r="Z76" s="95"/>
      <c r="AA76" s="96">
        <f>SUM(S76:Y76)</f>
        <v>19</v>
      </c>
      <c r="AB76" s="97">
        <f>IF(C76=2015, AA76/3,AA76)+Z76</f>
        <v>19</v>
      </c>
    </row>
    <row r="77" spans="1:47" x14ac:dyDescent="0.25">
      <c r="A77" s="11" t="s">
        <v>484</v>
      </c>
      <c r="B77" s="60" t="s">
        <v>274</v>
      </c>
      <c r="C77" s="62">
        <v>2013</v>
      </c>
      <c r="D77" s="1">
        <f>Q77+G77+F77+H77+E77</f>
        <v>0</v>
      </c>
      <c r="H77" s="120"/>
      <c r="N77" s="50">
        <f>AB77</f>
        <v>0</v>
      </c>
      <c r="O77" s="120"/>
      <c r="P77" s="96">
        <f>SUM(J77:N77)</f>
        <v>0</v>
      </c>
      <c r="Q77" s="97">
        <f>IF(C77=2016, P77/3,P77)+O77</f>
        <v>0</v>
      </c>
      <c r="R77" s="22"/>
      <c r="S77" s="41"/>
      <c r="T77" s="41"/>
      <c r="U77" s="41"/>
      <c r="V77" s="41"/>
      <c r="W77" s="41"/>
      <c r="X77" s="41">
        <f>0</f>
        <v>0</v>
      </c>
      <c r="Y77" s="13"/>
      <c r="Z77" s="95"/>
      <c r="AA77" s="96">
        <f>SUM(S77:Y77)</f>
        <v>0</v>
      </c>
      <c r="AB77" s="97">
        <f>IF(C77=2015, AA77/3,AA77)+Z77</f>
        <v>0</v>
      </c>
    </row>
    <row r="78" spans="1:47" x14ac:dyDescent="0.25">
      <c r="A78" s="45" t="s">
        <v>84</v>
      </c>
      <c r="B78" s="66" t="s">
        <v>63</v>
      </c>
      <c r="C78" s="46">
        <v>2016</v>
      </c>
      <c r="D78" s="1">
        <f>Q78+G78+F78+H78+E78</f>
        <v>144.33333333333331</v>
      </c>
      <c r="E78" s="160">
        <f>0+3+3</f>
        <v>6</v>
      </c>
      <c r="F78" s="160">
        <f>0+12+6</f>
        <v>18</v>
      </c>
      <c r="G78" s="160">
        <f>38+6</f>
        <v>44</v>
      </c>
      <c r="H78" s="122"/>
      <c r="I78" s="101"/>
      <c r="J78" s="108"/>
      <c r="K78" s="108">
        <f>36+3</f>
        <v>39</v>
      </c>
      <c r="L78" s="108">
        <f>29+15</f>
        <v>44</v>
      </c>
      <c r="M78" s="108">
        <f>21</f>
        <v>21</v>
      </c>
      <c r="N78" s="108">
        <f>AB78</f>
        <v>107</v>
      </c>
      <c r="O78" s="122">
        <f>6</f>
        <v>6</v>
      </c>
      <c r="P78" s="96">
        <f>SUM(J78:N78)</f>
        <v>211</v>
      </c>
      <c r="Q78" s="97">
        <f>IF(C78=2016, P78/3,P78)+O78</f>
        <v>76.333333333333329</v>
      </c>
      <c r="R78" s="101"/>
      <c r="S78" s="41"/>
      <c r="T78" s="41">
        <v>45</v>
      </c>
      <c r="U78" s="41">
        <f>18</f>
        <v>18</v>
      </c>
      <c r="V78" s="41">
        <f>33</f>
        <v>33</v>
      </c>
      <c r="W78" s="41">
        <f>0</f>
        <v>0</v>
      </c>
      <c r="X78" s="41">
        <f>11</f>
        <v>11</v>
      </c>
      <c r="Y78" s="13"/>
      <c r="AA78" s="96">
        <f>SUM(S78:Y78)</f>
        <v>107</v>
      </c>
      <c r="AB78" s="97">
        <f>IF(C78=2015, AA78/3,AA78)+Z78</f>
        <v>107</v>
      </c>
    </row>
    <row r="79" spans="1:47" x14ac:dyDescent="0.25">
      <c r="A79" s="11" t="s">
        <v>127</v>
      </c>
      <c r="B79" s="60" t="s">
        <v>64</v>
      </c>
      <c r="C79" s="62">
        <v>2013</v>
      </c>
      <c r="D79" s="1">
        <f>Q79+G79+F79+H79+E79</f>
        <v>23</v>
      </c>
      <c r="H79" s="120"/>
      <c r="N79" s="50">
        <f>AB79</f>
        <v>23</v>
      </c>
      <c r="O79" s="120"/>
      <c r="P79" s="96">
        <f>SUM(J79:N79)</f>
        <v>23</v>
      </c>
      <c r="Q79" s="97">
        <f>IF(C79=2016, P79/3,P79)+O79</f>
        <v>23</v>
      </c>
      <c r="R79" s="22"/>
      <c r="S79" s="41"/>
      <c r="T79" s="41">
        <v>20</v>
      </c>
      <c r="U79" s="41">
        <f>3</f>
        <v>3</v>
      </c>
      <c r="V79" s="41"/>
      <c r="W79" s="41"/>
      <c r="X79" s="41"/>
      <c r="Y79" s="13"/>
      <c r="Z79" s="95"/>
      <c r="AA79" s="96">
        <f>SUM(S79:Y79)</f>
        <v>23</v>
      </c>
      <c r="AB79" s="97">
        <f>IF(C79=2015, AA79/3,AA79)+Z79</f>
        <v>23</v>
      </c>
    </row>
    <row r="80" spans="1:47" x14ac:dyDescent="0.25">
      <c r="A80" s="45" t="s">
        <v>467</v>
      </c>
      <c r="B80" s="66" t="s">
        <v>0</v>
      </c>
      <c r="C80" s="46">
        <v>2015</v>
      </c>
      <c r="D80" s="1">
        <f>Q80+G80+F80+H80+E80</f>
        <v>2.6666666666666665</v>
      </c>
      <c r="H80" s="120"/>
      <c r="N80" s="50">
        <f>AB80</f>
        <v>2.6666666666666665</v>
      </c>
      <c r="O80" s="120"/>
      <c r="P80" s="96">
        <f>SUM(J80:N80)</f>
        <v>2.6666666666666665</v>
      </c>
      <c r="Q80" s="97">
        <f>IF(C80=2016, P80/3,P80)+O80</f>
        <v>2.6666666666666665</v>
      </c>
      <c r="R80" s="101"/>
      <c r="S80" s="41"/>
      <c r="T80" s="41"/>
      <c r="U80" s="41"/>
      <c r="V80" s="41"/>
      <c r="W80" s="41"/>
      <c r="X80" s="41">
        <f>8</f>
        <v>8</v>
      </c>
      <c r="Y80" s="13"/>
      <c r="Z80" s="95"/>
      <c r="AA80" s="96">
        <f>SUM(S80:Y80)</f>
        <v>8</v>
      </c>
      <c r="AB80" s="97">
        <f>IF(C80=2015, AA80/3,AA80)+Z80</f>
        <v>2.6666666666666665</v>
      </c>
    </row>
    <row r="81" spans="1:28" x14ac:dyDescent="0.25">
      <c r="A81" s="11" t="s">
        <v>140</v>
      </c>
      <c r="B81" s="60" t="s">
        <v>64</v>
      </c>
      <c r="C81" s="62">
        <v>2014</v>
      </c>
      <c r="D81" s="1">
        <f>Q81+G81+F81+H81+E81</f>
        <v>25</v>
      </c>
      <c r="H81" s="120"/>
      <c r="N81" s="50">
        <f>AB81</f>
        <v>25</v>
      </c>
      <c r="O81" s="120"/>
      <c r="P81" s="96">
        <f>SUM(J81:N81)</f>
        <v>25</v>
      </c>
      <c r="Q81" s="97">
        <f>IF(C81=2016, P81/3,P81)+O81</f>
        <v>25</v>
      </c>
      <c r="R81" s="22"/>
      <c r="S81" s="41"/>
      <c r="T81" s="41">
        <v>8</v>
      </c>
      <c r="U81" s="41">
        <f>17</f>
        <v>17</v>
      </c>
      <c r="V81" s="41"/>
      <c r="W81" s="41"/>
      <c r="X81" s="41"/>
      <c r="Y81" s="13"/>
      <c r="Z81" s="95"/>
      <c r="AA81" s="96">
        <f>SUM(S81:Y81)</f>
        <v>25</v>
      </c>
      <c r="AB81" s="97">
        <f>IF(C81=2015, AA81/3,AA81)+Z81</f>
        <v>25</v>
      </c>
    </row>
    <row r="82" spans="1:28" x14ac:dyDescent="0.25">
      <c r="A82" s="71" t="s">
        <v>234</v>
      </c>
      <c r="B82" s="66" t="s">
        <v>63</v>
      </c>
      <c r="C82" s="72">
        <v>2015</v>
      </c>
      <c r="D82" s="1">
        <f>Q82+G82+F82+H82+E82</f>
        <v>0</v>
      </c>
      <c r="H82" s="120"/>
      <c r="N82" s="50">
        <f>AB82</f>
        <v>0</v>
      </c>
      <c r="O82" s="120"/>
      <c r="P82" s="96">
        <f>SUM(J82:N82)</f>
        <v>0</v>
      </c>
      <c r="Q82" s="97">
        <f>IF(C82=2016, P82/3,P82)+O82</f>
        <v>0</v>
      </c>
      <c r="R82" s="101"/>
      <c r="S82" s="41"/>
      <c r="T82" s="41"/>
      <c r="U82" s="41">
        <f>0</f>
        <v>0</v>
      </c>
      <c r="V82" s="41"/>
      <c r="W82" s="41"/>
      <c r="X82" s="41"/>
      <c r="Y82" s="13"/>
      <c r="Z82" s="95"/>
      <c r="AA82" s="96">
        <f>SUM(S82:Y82)</f>
        <v>0</v>
      </c>
      <c r="AB82" s="97">
        <f>IF(C82=2015, AA82/3,AA82)+Z82</f>
        <v>0</v>
      </c>
    </row>
    <row r="83" spans="1:28" x14ac:dyDescent="0.25">
      <c r="A83" s="71" t="s">
        <v>252</v>
      </c>
      <c r="B83" s="71" t="s">
        <v>233</v>
      </c>
      <c r="C83" s="72">
        <v>2012</v>
      </c>
      <c r="D83" s="1">
        <f>Q83+G83+F83+H83+E83</f>
        <v>0</v>
      </c>
      <c r="H83" s="120"/>
      <c r="K83" s="50">
        <f>0</f>
        <v>0</v>
      </c>
      <c r="N83" s="50">
        <f>AB83</f>
        <v>0</v>
      </c>
      <c r="O83" s="120"/>
      <c r="P83" s="96">
        <f>SUM(J83:N83)</f>
        <v>0</v>
      </c>
      <c r="Q83" s="97">
        <f>IF(C83=2016, P83/3,P83)+O83</f>
        <v>0</v>
      </c>
      <c r="R83" s="22"/>
      <c r="U83" s="50">
        <f>0</f>
        <v>0</v>
      </c>
      <c r="Z83" s="95"/>
      <c r="AA83" s="96">
        <f>SUM(S83:Y83)</f>
        <v>0</v>
      </c>
      <c r="AB83" s="97">
        <f>IF(C83=2015, AA83/3,AA83)+Z83</f>
        <v>0</v>
      </c>
    </row>
    <row r="84" spans="1:28" x14ac:dyDescent="0.25">
      <c r="A84" s="71" t="s">
        <v>562</v>
      </c>
      <c r="B84" s="71" t="s">
        <v>64</v>
      </c>
      <c r="C84" s="72">
        <v>2013</v>
      </c>
      <c r="D84" s="1">
        <f>Q84+G84+F84+H84+E84</f>
        <v>0</v>
      </c>
      <c r="H84" s="158"/>
      <c r="I84" s="22"/>
      <c r="M84" s="50">
        <f>0</f>
        <v>0</v>
      </c>
      <c r="O84" s="120"/>
      <c r="P84" s="96">
        <f>SUM(J84:N84)</f>
        <v>0</v>
      </c>
      <c r="Q84" s="97">
        <f>IF(C84=2016, P84/3,P84)+O84</f>
        <v>0</v>
      </c>
      <c r="R84" s="22"/>
      <c r="Z84" s="95"/>
      <c r="AA84" s="96">
        <f>SUM(S84:Y84)</f>
        <v>0</v>
      </c>
      <c r="AB84" s="97">
        <f>IF(C84=2015, AA84/3,AA84)+Z84</f>
        <v>0</v>
      </c>
    </row>
    <row r="85" spans="1:28" x14ac:dyDescent="0.25">
      <c r="A85" s="71" t="s">
        <v>615</v>
      </c>
      <c r="B85" s="71" t="s">
        <v>63</v>
      </c>
      <c r="C85" s="72">
        <v>2013</v>
      </c>
      <c r="D85" s="1">
        <f>Q85+G85+F85+H85+E85</f>
        <v>89</v>
      </c>
      <c r="E85" s="177">
        <f>28+2+3</f>
        <v>33</v>
      </c>
      <c r="F85" s="50">
        <f>22+4+3+6</f>
        <v>35</v>
      </c>
      <c r="G85" s="50">
        <f>0+2</f>
        <v>2</v>
      </c>
      <c r="H85" s="158"/>
      <c r="I85" s="22"/>
      <c r="J85" s="50">
        <f>6</f>
        <v>6</v>
      </c>
      <c r="L85" s="50">
        <f>13</f>
        <v>13</v>
      </c>
      <c r="O85" s="120"/>
      <c r="P85" s="96">
        <f>SUM(J85:N85)</f>
        <v>19</v>
      </c>
      <c r="Q85" s="97">
        <f>IF(C85=2016, P85/3,P85)+O85</f>
        <v>19</v>
      </c>
      <c r="R85" s="22"/>
      <c r="Z85" s="95"/>
      <c r="AA85" s="96">
        <f>SUM(S85:Y85)</f>
        <v>0</v>
      </c>
      <c r="AB85" s="97">
        <f>IF(C85=2015, AA85/3,AA85)+Z85</f>
        <v>0</v>
      </c>
    </row>
    <row r="86" spans="1:28" ht="14.25" customHeight="1" x14ac:dyDescent="0.25">
      <c r="A86" s="11" t="s">
        <v>114</v>
      </c>
      <c r="B86" s="60" t="s">
        <v>63</v>
      </c>
      <c r="C86" s="62">
        <v>2014</v>
      </c>
      <c r="D86" s="1">
        <f>Q86+G86+F86+H86+E86</f>
        <v>67</v>
      </c>
      <c r="E86" s="177">
        <f>0+3</f>
        <v>3</v>
      </c>
      <c r="F86" s="50">
        <f>15+3+6</f>
        <v>24</v>
      </c>
      <c r="G86" s="50">
        <f>6</f>
        <v>6</v>
      </c>
      <c r="H86" s="120"/>
      <c r="J86" s="50">
        <f>0</f>
        <v>0</v>
      </c>
      <c r="L86" s="50">
        <f>12</f>
        <v>12</v>
      </c>
      <c r="N86" s="50">
        <f>AB86</f>
        <v>22</v>
      </c>
      <c r="O86" s="120"/>
      <c r="P86" s="96">
        <f>SUM(J86:N86)</f>
        <v>34</v>
      </c>
      <c r="Q86" s="97">
        <f>IF(C86=2016, P86/3,P86)+O86</f>
        <v>34</v>
      </c>
      <c r="R86" s="22"/>
      <c r="S86" s="41"/>
      <c r="T86" s="41">
        <v>0</v>
      </c>
      <c r="U86" s="41">
        <f>18</f>
        <v>18</v>
      </c>
      <c r="V86" s="41">
        <f>0</f>
        <v>0</v>
      </c>
      <c r="W86" s="41">
        <f>0</f>
        <v>0</v>
      </c>
      <c r="X86" s="41"/>
      <c r="Y86" s="13">
        <f>4</f>
        <v>4</v>
      </c>
      <c r="Z86" s="95"/>
      <c r="AA86" s="96">
        <f>SUM(S86:Y86)</f>
        <v>22</v>
      </c>
      <c r="AB86" s="97">
        <f>IF(C86=2015, AA86/3,AA86)+Z86</f>
        <v>22</v>
      </c>
    </row>
    <row r="87" spans="1:28" x14ac:dyDescent="0.25">
      <c r="A87" s="71" t="s">
        <v>422</v>
      </c>
      <c r="B87" s="71" t="s">
        <v>63</v>
      </c>
      <c r="C87" s="72">
        <v>2012</v>
      </c>
      <c r="D87" s="1">
        <f>Q87+G87+F87+H87+E87</f>
        <v>110</v>
      </c>
      <c r="E87" s="177">
        <f>0+3</f>
        <v>3</v>
      </c>
      <c r="F87" s="50">
        <f>22+3+6</f>
        <v>31</v>
      </c>
      <c r="G87" s="50">
        <f>28</f>
        <v>28</v>
      </c>
      <c r="H87" s="120"/>
      <c r="J87" s="50">
        <f>0</f>
        <v>0</v>
      </c>
      <c r="K87" s="50">
        <f>22</f>
        <v>22</v>
      </c>
      <c r="M87" s="50">
        <f>26</f>
        <v>26</v>
      </c>
      <c r="N87" s="50">
        <f>AB87</f>
        <v>0</v>
      </c>
      <c r="O87" s="120"/>
      <c r="P87" s="96">
        <f>SUM(J87:N87)</f>
        <v>48</v>
      </c>
      <c r="Q87" s="97">
        <f>IF(C87=2016, P87/3,P87)+O87</f>
        <v>48</v>
      </c>
      <c r="R87" s="22"/>
      <c r="W87" s="50">
        <f>0</f>
        <v>0</v>
      </c>
      <c r="Z87" s="95"/>
      <c r="AA87" s="96">
        <f>SUM(S87:Y87)</f>
        <v>0</v>
      </c>
      <c r="AB87" s="97">
        <f>IF(C87=2015, AA87/3,AA87)+Z87</f>
        <v>0</v>
      </c>
    </row>
    <row r="88" spans="1:28" x14ac:dyDescent="0.25">
      <c r="A88" s="45" t="s">
        <v>83</v>
      </c>
      <c r="B88" s="66" t="s">
        <v>64</v>
      </c>
      <c r="C88" s="46">
        <v>2015</v>
      </c>
      <c r="D88" s="1">
        <f>Q88+G88+F88+H88+E88</f>
        <v>10</v>
      </c>
      <c r="H88" s="120"/>
      <c r="N88" s="50">
        <f>AB88</f>
        <v>10</v>
      </c>
      <c r="O88" s="120"/>
      <c r="P88" s="96">
        <f>SUM(J88:N88)</f>
        <v>10</v>
      </c>
      <c r="Q88" s="97">
        <f>IF(C88=2016, P88/3,P88)+O88</f>
        <v>10</v>
      </c>
      <c r="R88" s="101"/>
      <c r="S88" s="41"/>
      <c r="T88" s="41">
        <v>0</v>
      </c>
      <c r="U88" s="41">
        <f>30</f>
        <v>30</v>
      </c>
      <c r="V88" s="41"/>
      <c r="W88" s="41"/>
      <c r="X88" s="41"/>
      <c r="Y88" s="13"/>
      <c r="Z88" s="95"/>
      <c r="AA88" s="96">
        <f>SUM(S88:Y88)</f>
        <v>30</v>
      </c>
      <c r="AB88" s="97">
        <f>IF(C88=2015, AA88/3,AA88)+Z88</f>
        <v>10</v>
      </c>
    </row>
    <row r="89" spans="1:28" x14ac:dyDescent="0.25">
      <c r="A89" s="11" t="s">
        <v>44</v>
      </c>
      <c r="B89" s="11" t="s">
        <v>36</v>
      </c>
      <c r="C89" s="3">
        <v>2013</v>
      </c>
      <c r="D89" s="1">
        <f>Q89+G89+F89+H89+E89</f>
        <v>255</v>
      </c>
      <c r="E89" s="177">
        <f>16</f>
        <v>16</v>
      </c>
      <c r="H89" s="120"/>
      <c r="J89" s="50">
        <f>24</f>
        <v>24</v>
      </c>
      <c r="K89" s="50">
        <f>36</f>
        <v>36</v>
      </c>
      <c r="L89" s="50">
        <f>50</f>
        <v>50</v>
      </c>
      <c r="M89" s="50">
        <f>42</f>
        <v>42</v>
      </c>
      <c r="N89" s="50">
        <f>AB89</f>
        <v>87</v>
      </c>
      <c r="O89" s="120"/>
      <c r="P89" s="96">
        <f>SUM(J89:N89)</f>
        <v>239</v>
      </c>
      <c r="Q89" s="97">
        <f>IF(C89=2016, P89/3,P89)+O89</f>
        <v>239</v>
      </c>
      <c r="R89" s="22"/>
      <c r="S89" s="50">
        <v>2</v>
      </c>
      <c r="U89" s="50">
        <f>21</f>
        <v>21</v>
      </c>
      <c r="V89" s="50">
        <f>28</f>
        <v>28</v>
      </c>
      <c r="W89" s="50">
        <v>36</v>
      </c>
      <c r="X89" s="50">
        <f>0</f>
        <v>0</v>
      </c>
      <c r="Z89" s="95"/>
      <c r="AA89" s="96">
        <f>SUM(S89:Y89)</f>
        <v>87</v>
      </c>
      <c r="AB89" s="97">
        <f>IF(C89=2015, AA89/3,AA89)+Z89</f>
        <v>87</v>
      </c>
    </row>
    <row r="90" spans="1:28" x14ac:dyDescent="0.25">
      <c r="A90" s="11" t="s">
        <v>47</v>
      </c>
      <c r="B90" s="11" t="s">
        <v>36</v>
      </c>
      <c r="C90" s="3">
        <v>2012</v>
      </c>
      <c r="D90" s="1">
        <f>Q90+G90+F90+H90+E90</f>
        <v>140</v>
      </c>
      <c r="E90" s="177">
        <f>48</f>
        <v>48</v>
      </c>
      <c r="H90" s="120"/>
      <c r="J90" s="50">
        <f>6</f>
        <v>6</v>
      </c>
      <c r="K90" s="50">
        <f>24</f>
        <v>24</v>
      </c>
      <c r="L90" s="50">
        <f>25</f>
        <v>25</v>
      </c>
      <c r="N90" s="50">
        <f>AB90</f>
        <v>37</v>
      </c>
      <c r="O90" s="120"/>
      <c r="P90" s="96">
        <f>SUM(J90:N90)</f>
        <v>92</v>
      </c>
      <c r="Q90" s="97">
        <f>IF(C90=2016, P90/3,P90)+O90</f>
        <v>92</v>
      </c>
      <c r="R90" s="22"/>
      <c r="S90" s="50">
        <v>2</v>
      </c>
      <c r="U90" s="50">
        <f>6</f>
        <v>6</v>
      </c>
      <c r="V90" s="50">
        <f>0</f>
        <v>0</v>
      </c>
      <c r="W90" s="50">
        <f>29</f>
        <v>29</v>
      </c>
      <c r="Z90" s="95"/>
      <c r="AA90" s="96">
        <f>SUM(S90:Y90)</f>
        <v>37</v>
      </c>
      <c r="AB90" s="97">
        <f>IF(C90=2015, AA90/3,AA90)+Z90</f>
        <v>37</v>
      </c>
    </row>
    <row r="91" spans="1:28" ht="14.25" customHeight="1" x14ac:dyDescent="0.25">
      <c r="A91" s="11" t="s">
        <v>492</v>
      </c>
      <c r="B91" s="11" t="s">
        <v>7</v>
      </c>
      <c r="C91" s="3">
        <v>2014</v>
      </c>
      <c r="D91" s="1">
        <f>Q91+G91+F91+H91+E91</f>
        <v>99</v>
      </c>
      <c r="H91" s="120"/>
      <c r="K91" s="50">
        <f>8+24</f>
        <v>32</v>
      </c>
      <c r="L91" s="50">
        <f>12</f>
        <v>12</v>
      </c>
      <c r="M91" s="50">
        <f>16+21+1</f>
        <v>38</v>
      </c>
      <c r="N91" s="50">
        <f>AB91</f>
        <v>17</v>
      </c>
      <c r="O91" s="120"/>
      <c r="P91" s="96">
        <f>SUM(J91:N91)</f>
        <v>99</v>
      </c>
      <c r="Q91" s="97">
        <f>IF(C91=2016, P91/3,P91)+O91</f>
        <v>99</v>
      </c>
      <c r="R91" s="22"/>
      <c r="X91" s="50">
        <f>0+15+2</f>
        <v>17</v>
      </c>
      <c r="Z91" s="95"/>
      <c r="AA91" s="96">
        <f>SUM(S91:Y91)</f>
        <v>17</v>
      </c>
      <c r="AB91" s="97">
        <f>IF(C91=2015, AA91/3,AA91)+Z91</f>
        <v>17</v>
      </c>
    </row>
    <row r="92" spans="1:28" x14ac:dyDescent="0.25">
      <c r="A92" s="11" t="s">
        <v>147</v>
      </c>
      <c r="B92" s="60" t="s">
        <v>64</v>
      </c>
      <c r="C92" s="62">
        <v>2012</v>
      </c>
      <c r="D92" s="1">
        <f>Q92+G92+F92+H92+E92</f>
        <v>0</v>
      </c>
      <c r="H92" s="120"/>
      <c r="N92" s="50">
        <f>AB92</f>
        <v>0</v>
      </c>
      <c r="O92" s="120"/>
      <c r="P92" s="96">
        <f>SUM(J92:N92)</f>
        <v>0</v>
      </c>
      <c r="Q92" s="97">
        <f>IF(C92=2016, P92/3,P92)+O92</f>
        <v>0</v>
      </c>
      <c r="R92" s="22"/>
      <c r="S92" s="41"/>
      <c r="T92" s="41">
        <v>0</v>
      </c>
      <c r="U92" s="41"/>
      <c r="V92" s="41"/>
      <c r="W92" s="41"/>
      <c r="X92" s="41"/>
      <c r="Y92" s="13"/>
      <c r="Z92" s="95"/>
      <c r="AA92" s="96">
        <f>SUM(S92:Y92)</f>
        <v>0</v>
      </c>
      <c r="AB92" s="97">
        <f>IF(C92=2015, AA92/3,AA92)+Z92</f>
        <v>0</v>
      </c>
    </row>
    <row r="93" spans="1:28" x14ac:dyDescent="0.25">
      <c r="A93" s="11" t="s">
        <v>628</v>
      </c>
      <c r="B93" s="11" t="s">
        <v>605</v>
      </c>
      <c r="D93" s="1">
        <f>Q93+G93+F93+H93+E93</f>
        <v>48</v>
      </c>
      <c r="H93" s="158"/>
      <c r="I93" s="22"/>
      <c r="L93" s="50">
        <f>48</f>
        <v>48</v>
      </c>
      <c r="O93" s="120"/>
      <c r="P93" s="96">
        <f>SUM(J93:N93)</f>
        <v>48</v>
      </c>
      <c r="Q93" s="97">
        <f>IF(C93=2016, P93/3,P93)+O93</f>
        <v>48</v>
      </c>
      <c r="R93" s="22"/>
      <c r="Z93" s="95"/>
      <c r="AA93" s="96">
        <f>SUM(S93:Y93)</f>
        <v>0</v>
      </c>
      <c r="AB93" s="97">
        <f>IF(C93=2015, AA93/3,AA93)+Z93</f>
        <v>0</v>
      </c>
    </row>
    <row r="94" spans="1:28" x14ac:dyDescent="0.25">
      <c r="A94" s="45" t="s">
        <v>70</v>
      </c>
      <c r="B94" s="66" t="s">
        <v>63</v>
      </c>
      <c r="C94" s="46">
        <v>2016</v>
      </c>
      <c r="D94" s="1">
        <f>Q94+G94+F94+H94+E94</f>
        <v>4</v>
      </c>
      <c r="E94" s="160"/>
      <c r="F94" s="160"/>
      <c r="G94" s="160"/>
      <c r="H94" s="122"/>
      <c r="I94" s="101"/>
      <c r="J94" s="108"/>
      <c r="K94" s="108"/>
      <c r="L94" s="108"/>
      <c r="M94" s="108"/>
      <c r="N94" s="108">
        <f>AB94</f>
        <v>12</v>
      </c>
      <c r="O94" s="122"/>
      <c r="P94" s="96">
        <f>SUM(J94:N94)</f>
        <v>12</v>
      </c>
      <c r="Q94" s="97">
        <f>IF(C94=2016, P94/3,P94)+O94</f>
        <v>4</v>
      </c>
      <c r="R94" s="101"/>
      <c r="S94" s="41"/>
      <c r="T94" s="41">
        <v>12</v>
      </c>
      <c r="U94" s="41"/>
      <c r="V94" s="41"/>
      <c r="W94" s="41"/>
      <c r="X94" s="41"/>
      <c r="Y94" s="69"/>
      <c r="AA94" s="96">
        <f>SUM(S94:Y94)</f>
        <v>12</v>
      </c>
      <c r="AB94" s="97">
        <f>IF(C94=2015, AA94/3,AA94)+Z94</f>
        <v>12</v>
      </c>
    </row>
    <row r="95" spans="1:28" x14ac:dyDescent="0.25">
      <c r="A95" s="11" t="s">
        <v>326</v>
      </c>
      <c r="B95" s="60" t="s">
        <v>112</v>
      </c>
      <c r="C95" s="62">
        <v>2014</v>
      </c>
      <c r="D95" s="1">
        <f>Q95+G95+F95+H95+E95</f>
        <v>2</v>
      </c>
      <c r="E95" s="182"/>
      <c r="F95" s="182"/>
      <c r="G95" s="182"/>
      <c r="H95" s="120"/>
      <c r="I95" s="182"/>
      <c r="J95" s="182"/>
      <c r="K95" s="182"/>
      <c r="L95" s="182"/>
      <c r="M95" s="182"/>
      <c r="N95" s="182">
        <f>AB95</f>
        <v>2</v>
      </c>
      <c r="O95" s="120"/>
      <c r="P95" s="96">
        <f>SUM(J95:N95)</f>
        <v>2</v>
      </c>
      <c r="Q95" s="97">
        <f>IF(C95=2016, P95/3,P95)+O95</f>
        <v>2</v>
      </c>
      <c r="R95" s="22"/>
      <c r="S95" s="41"/>
      <c r="T95" s="41"/>
      <c r="U95" s="41"/>
      <c r="V95" s="41">
        <f>0+2</f>
        <v>2</v>
      </c>
      <c r="W95" s="41"/>
      <c r="X95" s="41"/>
      <c r="Y95" s="13"/>
      <c r="Z95" s="95"/>
      <c r="AA95" s="96">
        <f>SUM(S95:Y95)</f>
        <v>2</v>
      </c>
      <c r="AB95" s="97">
        <f>IF(C95=2015, AA95/3,AA95)+Z95</f>
        <v>2</v>
      </c>
    </row>
    <row r="96" spans="1:28" x14ac:dyDescent="0.25">
      <c r="A96" s="45" t="s">
        <v>431</v>
      </c>
      <c r="B96" s="66" t="s">
        <v>0</v>
      </c>
      <c r="C96" s="46">
        <v>2016</v>
      </c>
      <c r="D96" s="1">
        <f>Q96+G96+F96+H96+E96</f>
        <v>18.333333333333332</v>
      </c>
      <c r="E96" s="160"/>
      <c r="F96" s="160"/>
      <c r="G96" s="160"/>
      <c r="H96" s="122"/>
      <c r="I96" s="101"/>
      <c r="J96" s="108">
        <f>15</f>
        <v>15</v>
      </c>
      <c r="K96" s="108"/>
      <c r="L96" s="108">
        <f>12</f>
        <v>12</v>
      </c>
      <c r="M96" s="108">
        <f>15</f>
        <v>15</v>
      </c>
      <c r="N96" s="108">
        <f>AB96</f>
        <v>13</v>
      </c>
      <c r="O96" s="122"/>
      <c r="P96" s="96">
        <f>SUM(J96:N96)</f>
        <v>55</v>
      </c>
      <c r="Q96" s="97">
        <f>IF(C96=2016, P96/3,P96)+O96</f>
        <v>18.333333333333332</v>
      </c>
      <c r="R96" s="101"/>
      <c r="S96" s="41"/>
      <c r="T96" s="41"/>
      <c r="U96" s="41"/>
      <c r="V96" s="41"/>
      <c r="W96" s="41">
        <f>8</f>
        <v>8</v>
      </c>
      <c r="X96" s="41">
        <f>5</f>
        <v>5</v>
      </c>
      <c r="Y96" s="181"/>
      <c r="AA96" s="96">
        <f>SUM(S96:Y96)</f>
        <v>13</v>
      </c>
      <c r="AB96" s="97">
        <f>IF(C96=2015, AA96/3,AA96)+Z96</f>
        <v>13</v>
      </c>
    </row>
    <row r="97" spans="1:47" x14ac:dyDescent="0.25">
      <c r="A97" s="45" t="s">
        <v>606</v>
      </c>
      <c r="B97" s="66" t="s">
        <v>0</v>
      </c>
      <c r="C97" s="46">
        <v>2016</v>
      </c>
      <c r="D97" s="1">
        <f>Q97+G97+F97+H97+E97</f>
        <v>5.666666666666667</v>
      </c>
      <c r="E97" s="160"/>
      <c r="F97" s="160"/>
      <c r="G97" s="160"/>
      <c r="H97" s="122"/>
      <c r="I97" s="101"/>
      <c r="J97" s="108"/>
      <c r="K97" s="108">
        <f>0</f>
        <v>0</v>
      </c>
      <c r="L97" s="108">
        <f>17</f>
        <v>17</v>
      </c>
      <c r="M97" s="108"/>
      <c r="N97" s="108"/>
      <c r="O97" s="122"/>
      <c r="P97" s="96">
        <f>SUM(J97:N97)</f>
        <v>17</v>
      </c>
      <c r="Q97" s="97">
        <f>IF(C97=2016, P97/3,P97)+O97</f>
        <v>5.666666666666667</v>
      </c>
      <c r="R97" s="101"/>
      <c r="S97" s="41"/>
      <c r="T97" s="41"/>
      <c r="U97" s="41"/>
      <c r="V97" s="41"/>
      <c r="W97" s="41"/>
      <c r="X97" s="41"/>
      <c r="Y97" s="114"/>
      <c r="AA97" s="96">
        <f>SUM(S97:Y97)</f>
        <v>0</v>
      </c>
      <c r="AB97" s="97">
        <f>IF(C97=2015, AA97/3,AA97)+Z97</f>
        <v>0</v>
      </c>
    </row>
    <row r="98" spans="1:47" x14ac:dyDescent="0.25">
      <c r="A98" s="51" t="s">
        <v>38</v>
      </c>
      <c r="B98" s="51" t="s">
        <v>23</v>
      </c>
      <c r="C98" s="52">
        <v>2012</v>
      </c>
      <c r="D98" s="1">
        <f>Q98+G98+F98+H98+E98</f>
        <v>169</v>
      </c>
      <c r="H98" s="120"/>
      <c r="N98" s="50">
        <f>AB98</f>
        <v>169</v>
      </c>
      <c r="O98" s="120"/>
      <c r="P98" s="96">
        <f>SUM(J98:N98)</f>
        <v>169</v>
      </c>
      <c r="Q98" s="97">
        <f>IF(C98=2016, P98/3,P98)+O98</f>
        <v>169</v>
      </c>
      <c r="R98" s="22"/>
      <c r="S98" s="50">
        <f>9</f>
        <v>9</v>
      </c>
      <c r="Y98" s="50">
        <v>160</v>
      </c>
      <c r="Z98" s="95"/>
      <c r="AA98" s="96">
        <f>SUM(S98:Y98)</f>
        <v>169</v>
      </c>
      <c r="AB98" s="97">
        <f>IF(C98=2015, AA98/3,AA98)+Z98</f>
        <v>169</v>
      </c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</row>
    <row r="99" spans="1:47" x14ac:dyDescent="0.25">
      <c r="A99" s="11" t="s">
        <v>463</v>
      </c>
      <c r="B99" s="60" t="s">
        <v>274</v>
      </c>
      <c r="C99" s="62">
        <v>2013</v>
      </c>
      <c r="D99" s="1">
        <f>Q99+G99+F99+H99+E99</f>
        <v>0</v>
      </c>
      <c r="H99" s="120"/>
      <c r="N99" s="50">
        <f>AB99</f>
        <v>0</v>
      </c>
      <c r="O99" s="120"/>
      <c r="P99" s="96">
        <f>SUM(J99:N99)</f>
        <v>0</v>
      </c>
      <c r="Q99" s="97">
        <f>IF(C99=2016, P99/3,P99)+O99</f>
        <v>0</v>
      </c>
      <c r="R99" s="22"/>
      <c r="W99" s="50">
        <f>0</f>
        <v>0</v>
      </c>
      <c r="Z99" s="95"/>
      <c r="AA99" s="96">
        <f>SUM(S99:Y99)</f>
        <v>0</v>
      </c>
      <c r="AB99" s="97">
        <f>IF(C99=2015, AA99/3,AA99)+Z99</f>
        <v>0</v>
      </c>
    </row>
    <row r="100" spans="1:47" x14ac:dyDescent="0.25">
      <c r="A100" s="11" t="s">
        <v>318</v>
      </c>
      <c r="B100" s="60" t="s">
        <v>274</v>
      </c>
      <c r="C100" s="62">
        <v>2012</v>
      </c>
      <c r="D100" s="1">
        <f>Q100+G100+F100+H100+E100</f>
        <v>0</v>
      </c>
      <c r="H100" s="120"/>
      <c r="N100" s="50">
        <f>AB100</f>
        <v>0</v>
      </c>
      <c r="O100" s="120"/>
      <c r="P100" s="96">
        <f>SUM(J100:N100)</f>
        <v>0</v>
      </c>
      <c r="Q100" s="97">
        <f>IF(C100=2016, P100/3,P100)+O100</f>
        <v>0</v>
      </c>
      <c r="R100" s="22"/>
      <c r="V100" s="50">
        <f>0</f>
        <v>0</v>
      </c>
      <c r="Z100" s="95"/>
      <c r="AA100" s="96">
        <f>SUM(S100:Y100)</f>
        <v>0</v>
      </c>
      <c r="AB100" s="97">
        <f>IF(C100=2015, AA100/3,AA100)+Z100</f>
        <v>0</v>
      </c>
    </row>
    <row r="101" spans="1:47" x14ac:dyDescent="0.25">
      <c r="A101" s="11" t="s">
        <v>864</v>
      </c>
      <c r="B101" s="60" t="s">
        <v>64</v>
      </c>
      <c r="C101" s="62">
        <v>2013</v>
      </c>
      <c r="D101" s="1">
        <f>Q101+G101+F101+H101+E101</f>
        <v>213</v>
      </c>
      <c r="E101" s="182">
        <f>0+9+6</f>
        <v>15</v>
      </c>
      <c r="F101" s="182">
        <f>27+18</f>
        <v>45</v>
      </c>
      <c r="G101" s="182">
        <f>6</f>
        <v>6</v>
      </c>
      <c r="H101" s="120"/>
      <c r="I101" s="182"/>
      <c r="J101" s="182"/>
      <c r="K101" s="182"/>
      <c r="L101" s="182">
        <f>75</f>
        <v>75</v>
      </c>
      <c r="M101" s="182">
        <f>0+6</f>
        <v>6</v>
      </c>
      <c r="N101" s="182">
        <f>AB101</f>
        <v>66</v>
      </c>
      <c r="O101" s="120"/>
      <c r="P101" s="96">
        <f>SUM(J101:N101)</f>
        <v>147</v>
      </c>
      <c r="Q101" s="97">
        <f>IF(C101=2016, P101/3,P101)+O101</f>
        <v>147</v>
      </c>
      <c r="R101" s="22"/>
      <c r="S101" s="182"/>
      <c r="T101" s="182">
        <f>18+6</f>
        <v>24</v>
      </c>
      <c r="U101" s="182">
        <f>36+6</f>
        <v>42</v>
      </c>
      <c r="V101" s="182"/>
      <c r="W101" s="182"/>
      <c r="X101" s="182"/>
      <c r="Z101" s="95"/>
      <c r="AA101" s="96">
        <f>SUM(S101:Y101)</f>
        <v>66</v>
      </c>
      <c r="AB101" s="97">
        <f>IF(C101=2015, AA101/3,AA101)+Z101</f>
        <v>66</v>
      </c>
    </row>
    <row r="102" spans="1:47" x14ac:dyDescent="0.25">
      <c r="A102" s="11" t="s">
        <v>475</v>
      </c>
      <c r="B102" s="60" t="s">
        <v>233</v>
      </c>
      <c r="C102" s="62">
        <v>2013</v>
      </c>
      <c r="D102" s="1">
        <f>Q102+G102+F102+H102+E102</f>
        <v>57</v>
      </c>
      <c r="H102" s="120"/>
      <c r="L102" s="50">
        <f>25</f>
        <v>25</v>
      </c>
      <c r="N102" s="50">
        <f>AB102</f>
        <v>32</v>
      </c>
      <c r="O102" s="120"/>
      <c r="P102" s="96">
        <f>SUM(J102:N102)</f>
        <v>57</v>
      </c>
      <c r="Q102" s="97">
        <f>IF(C102=2016, P102/3,P102)+O102</f>
        <v>57</v>
      </c>
      <c r="R102" s="22"/>
      <c r="X102" s="50">
        <f>32</f>
        <v>32</v>
      </c>
      <c r="Z102" s="95"/>
      <c r="AA102" s="96">
        <f>SUM(S102:Y102)</f>
        <v>32</v>
      </c>
      <c r="AB102" s="97">
        <f>IF(C102=2015, AA102/3,AA102)+Z102</f>
        <v>32</v>
      </c>
    </row>
    <row r="103" spans="1:47" x14ac:dyDescent="0.25">
      <c r="A103" s="45" t="s">
        <v>425</v>
      </c>
      <c r="B103" s="66" t="s">
        <v>63</v>
      </c>
      <c r="C103" s="46">
        <v>2016</v>
      </c>
      <c r="D103" s="1">
        <f>Q103+G103+F103+H103+E103</f>
        <v>57.333333333333336</v>
      </c>
      <c r="E103" s="160"/>
      <c r="F103" s="160"/>
      <c r="G103" s="160"/>
      <c r="H103" s="122"/>
      <c r="I103" s="101"/>
      <c r="J103" s="108"/>
      <c r="K103" s="108">
        <f>42+3</f>
        <v>45</v>
      </c>
      <c r="L103" s="108">
        <f>31+15</f>
        <v>46</v>
      </c>
      <c r="M103" s="108">
        <f>30</f>
        <v>30</v>
      </c>
      <c r="N103" s="108">
        <f>AB103</f>
        <v>51</v>
      </c>
      <c r="O103" s="122"/>
      <c r="P103" s="96">
        <f>SUM(J103:N103)</f>
        <v>172</v>
      </c>
      <c r="Q103" s="97">
        <f>IF(C103=2016, P103/3,P103)+O103</f>
        <v>57.333333333333336</v>
      </c>
      <c r="R103" s="101"/>
      <c r="S103" s="41"/>
      <c r="T103" s="41"/>
      <c r="U103" s="41"/>
      <c r="V103" s="41">
        <f>24</f>
        <v>24</v>
      </c>
      <c r="W103" s="41">
        <f>15</f>
        <v>15</v>
      </c>
      <c r="X103" s="41">
        <f>12</f>
        <v>12</v>
      </c>
      <c r="Y103" s="181"/>
      <c r="AA103" s="96">
        <f>SUM(S103:Y103)</f>
        <v>51</v>
      </c>
      <c r="AB103" s="97">
        <f>IF(C103=2015, AA103/3,AA103)+Z103</f>
        <v>51</v>
      </c>
    </row>
    <row r="104" spans="1:47" x14ac:dyDescent="0.25">
      <c r="A104" s="71" t="s">
        <v>255</v>
      </c>
      <c r="B104" s="71" t="s">
        <v>233</v>
      </c>
      <c r="C104" s="72">
        <v>2012</v>
      </c>
      <c r="D104" s="1">
        <f>Q104+G104+F104+H104+E104</f>
        <v>0</v>
      </c>
      <c r="H104" s="120"/>
      <c r="N104" s="50">
        <f>AB104</f>
        <v>0</v>
      </c>
      <c r="O104" s="120"/>
      <c r="P104" s="96">
        <f>SUM(J104:N104)</f>
        <v>0</v>
      </c>
      <c r="Q104" s="97">
        <f>IF(C104=2016, P104/3,P104)+O104</f>
        <v>0</v>
      </c>
      <c r="R104" s="22"/>
      <c r="U104" s="50">
        <f>0</f>
        <v>0</v>
      </c>
      <c r="Z104" s="95"/>
      <c r="AA104" s="96">
        <f>SUM(S104:Y104)</f>
        <v>0</v>
      </c>
      <c r="AB104" s="97">
        <f>IF(C104=2015, AA104/3,AA104)+Z104</f>
        <v>0</v>
      </c>
    </row>
    <row r="105" spans="1:47" x14ac:dyDescent="0.25">
      <c r="A105" s="11" t="s">
        <v>698</v>
      </c>
      <c r="B105" s="60" t="s">
        <v>554</v>
      </c>
      <c r="C105" s="62">
        <v>2012</v>
      </c>
      <c r="D105" s="1">
        <f>Q105+G105+F105+H105+E105</f>
        <v>0</v>
      </c>
      <c r="E105" s="182"/>
      <c r="F105" s="182"/>
      <c r="G105" s="182">
        <f>0</f>
        <v>0</v>
      </c>
      <c r="H105" s="158"/>
      <c r="I105" s="22"/>
      <c r="J105" s="182"/>
      <c r="K105" s="182">
        <f>0</f>
        <v>0</v>
      </c>
      <c r="L105" s="182"/>
      <c r="M105" s="182"/>
      <c r="N105" s="182"/>
      <c r="O105" s="120"/>
      <c r="P105" s="96">
        <f>SUM(J105:N105)</f>
        <v>0</v>
      </c>
      <c r="Q105" s="97">
        <f>IF(C105=2016, P105/3,P105)+O105</f>
        <v>0</v>
      </c>
      <c r="R105" s="22"/>
      <c r="S105" s="157"/>
      <c r="T105" s="157"/>
      <c r="U105" s="157"/>
      <c r="V105" s="157"/>
      <c r="W105" s="157"/>
      <c r="X105" s="157"/>
      <c r="Y105" s="13"/>
      <c r="Z105" s="95"/>
      <c r="AA105" s="96">
        <f>SUM(S105:Y105)</f>
        <v>0</v>
      </c>
      <c r="AB105" s="97">
        <f>IF(C105=2015, AA105/3,AA105)+Z105</f>
        <v>0</v>
      </c>
    </row>
    <row r="106" spans="1:47" x14ac:dyDescent="0.25">
      <c r="A106" s="45" t="s">
        <v>74</v>
      </c>
      <c r="B106" s="66" t="s">
        <v>63</v>
      </c>
      <c r="C106" s="46">
        <v>2016</v>
      </c>
      <c r="D106" s="1">
        <f>Q106+G106+F106+H106+E106</f>
        <v>4</v>
      </c>
      <c r="E106" s="160"/>
      <c r="F106" s="160"/>
      <c r="G106" s="160"/>
      <c r="H106" s="122"/>
      <c r="I106" s="101"/>
      <c r="J106" s="108"/>
      <c r="K106" s="108"/>
      <c r="L106" s="108"/>
      <c r="M106" s="108"/>
      <c r="N106" s="108">
        <f>AB106</f>
        <v>12</v>
      </c>
      <c r="O106" s="122"/>
      <c r="P106" s="96">
        <f>SUM(J106:N106)</f>
        <v>12</v>
      </c>
      <c r="Q106" s="97">
        <f>IF(C106=2016, P106/3,P106)+O106</f>
        <v>4</v>
      </c>
      <c r="R106" s="101"/>
      <c r="S106" s="41"/>
      <c r="T106" s="41">
        <v>12</v>
      </c>
      <c r="U106" s="41">
        <f>0</f>
        <v>0</v>
      </c>
      <c r="V106" s="41">
        <f>0</f>
        <v>0</v>
      </c>
      <c r="W106" s="41">
        <f>0</f>
        <v>0</v>
      </c>
      <c r="X106" s="41">
        <f>0</f>
        <v>0</v>
      </c>
      <c r="Y106" s="181"/>
      <c r="AA106" s="96">
        <f>SUM(S106:Y106)</f>
        <v>12</v>
      </c>
      <c r="AB106" s="97">
        <f>IF(C106=2015, AA106/3,AA106)+Z106</f>
        <v>12</v>
      </c>
    </row>
    <row r="107" spans="1:47" x14ac:dyDescent="0.25">
      <c r="A107" s="71" t="s">
        <v>701</v>
      </c>
      <c r="B107" s="71" t="s">
        <v>554</v>
      </c>
      <c r="C107" s="72">
        <v>2012</v>
      </c>
      <c r="D107" s="1">
        <f>Q107+G107+F107+H107+E107</f>
        <v>0</v>
      </c>
      <c r="H107" s="158"/>
      <c r="I107" s="22"/>
      <c r="K107" s="50">
        <f>0</f>
        <v>0</v>
      </c>
      <c r="O107" s="120"/>
      <c r="P107" s="96">
        <f>SUM(J107:N107)</f>
        <v>0</v>
      </c>
      <c r="Q107" s="97">
        <f>IF(C107=2016, P107/3,P107)+O107</f>
        <v>0</v>
      </c>
      <c r="R107" s="22"/>
      <c r="Z107" s="95"/>
      <c r="AA107" s="96">
        <f>SUM(S107:Y107)</f>
        <v>0</v>
      </c>
      <c r="AB107" s="97">
        <f>IF(C107=2015, AA107/3,AA107)+Z107</f>
        <v>0</v>
      </c>
    </row>
    <row r="108" spans="1:47" x14ac:dyDescent="0.25">
      <c r="A108" s="71" t="s">
        <v>561</v>
      </c>
      <c r="B108" s="71" t="s">
        <v>554</v>
      </c>
      <c r="C108" s="72">
        <v>2012</v>
      </c>
      <c r="D108" s="1">
        <f>Q108+G108+F108+H108+E108</f>
        <v>148</v>
      </c>
      <c r="F108" s="50">
        <f>72+6</f>
        <v>78</v>
      </c>
      <c r="G108" s="50">
        <f>27</f>
        <v>27</v>
      </c>
      <c r="H108" s="158"/>
      <c r="I108" s="22"/>
      <c r="K108" s="50">
        <f>22</f>
        <v>22</v>
      </c>
      <c r="M108" s="50">
        <f>18+3</f>
        <v>21</v>
      </c>
      <c r="O108" s="120"/>
      <c r="P108" s="96">
        <f>SUM(J108:N108)</f>
        <v>43</v>
      </c>
      <c r="Q108" s="97">
        <f>IF(C108=2016, P108/3,P108)+O108</f>
        <v>43</v>
      </c>
      <c r="R108" s="22"/>
      <c r="S108" s="182"/>
      <c r="T108" s="182"/>
      <c r="U108" s="182"/>
      <c r="V108" s="182"/>
      <c r="W108" s="182"/>
      <c r="X108" s="182"/>
      <c r="Z108" s="95"/>
      <c r="AA108" s="96">
        <f>SUM(S108:Y108)</f>
        <v>0</v>
      </c>
      <c r="AB108" s="97">
        <f>IF(C108=2015, AA108/3,AA108)+Z108</f>
        <v>0</v>
      </c>
    </row>
    <row r="109" spans="1:47" x14ac:dyDescent="0.25">
      <c r="A109" s="11" t="s">
        <v>124</v>
      </c>
      <c r="B109" s="60" t="s">
        <v>64</v>
      </c>
      <c r="C109" s="62">
        <v>2014</v>
      </c>
      <c r="D109" s="1">
        <f>Q109+G109+F109+H109+E109</f>
        <v>33</v>
      </c>
      <c r="H109" s="120"/>
      <c r="N109" s="50">
        <f>AB109</f>
        <v>33</v>
      </c>
      <c r="O109" s="120"/>
      <c r="P109" s="96">
        <f>SUM(J109:N109)</f>
        <v>33</v>
      </c>
      <c r="Q109" s="97">
        <f>IF(C109=2016, P109/3,P109)+O109</f>
        <v>33</v>
      </c>
      <c r="R109" s="22"/>
      <c r="S109" s="41"/>
      <c r="T109" s="41">
        <v>27</v>
      </c>
      <c r="U109" s="41">
        <f>6</f>
        <v>6</v>
      </c>
      <c r="V109" s="41"/>
      <c r="W109" s="41"/>
      <c r="X109" s="41"/>
      <c r="Y109" s="13"/>
      <c r="Z109" s="95"/>
      <c r="AA109" s="96">
        <f>SUM(S109:Y109)</f>
        <v>33</v>
      </c>
      <c r="AB109" s="97">
        <f>IF(C109=2015, AA109/3,AA109)+Z109</f>
        <v>33</v>
      </c>
    </row>
    <row r="110" spans="1:47" x14ac:dyDescent="0.25">
      <c r="A110" s="11" t="s">
        <v>146</v>
      </c>
      <c r="B110" s="60" t="s">
        <v>63</v>
      </c>
      <c r="C110" s="62">
        <v>2013</v>
      </c>
      <c r="D110" s="1">
        <f>Q110+G110+F110+H110+E110</f>
        <v>42</v>
      </c>
      <c r="H110" s="120"/>
      <c r="I110" s="182"/>
      <c r="N110" s="50">
        <f>AB110</f>
        <v>42</v>
      </c>
      <c r="O110" s="120"/>
      <c r="P110" s="96">
        <f>SUM(J110:N110)</f>
        <v>42</v>
      </c>
      <c r="Q110" s="97">
        <f>IF(C110=2016, P110/3,P110)+O110</f>
        <v>42</v>
      </c>
      <c r="R110" s="22"/>
      <c r="S110" s="41"/>
      <c r="T110" s="41">
        <v>0</v>
      </c>
      <c r="U110" s="41">
        <f>6</f>
        <v>6</v>
      </c>
      <c r="V110" s="41">
        <f>36</f>
        <v>36</v>
      </c>
      <c r="W110" s="41">
        <f>0</f>
        <v>0</v>
      </c>
      <c r="X110" s="41"/>
      <c r="Y110" s="13"/>
      <c r="Z110" s="95"/>
      <c r="AA110" s="96">
        <f>SUM(S110:Y110)</f>
        <v>42</v>
      </c>
      <c r="AB110" s="97">
        <f>IF(C110=2015, AA110/3,AA110)+Z110</f>
        <v>42</v>
      </c>
    </row>
    <row r="111" spans="1:47" x14ac:dyDescent="0.25">
      <c r="A111" s="11" t="s">
        <v>699</v>
      </c>
      <c r="B111" s="60" t="s">
        <v>7</v>
      </c>
      <c r="C111" s="62">
        <v>2013</v>
      </c>
      <c r="D111" s="1">
        <f>Q111+G111+F111+H111+E111</f>
        <v>0</v>
      </c>
      <c r="H111" s="158"/>
      <c r="I111" s="22"/>
      <c r="K111" s="50">
        <f>0</f>
        <v>0</v>
      </c>
      <c r="O111" s="120"/>
      <c r="P111" s="96">
        <f>SUM(J111:N111)</f>
        <v>0</v>
      </c>
      <c r="Q111" s="97">
        <f>IF(C111=2016, P111/3,P111)+O111</f>
        <v>0</v>
      </c>
      <c r="R111" s="22"/>
      <c r="S111" s="157"/>
      <c r="T111" s="157"/>
      <c r="U111" s="157"/>
      <c r="V111" s="157"/>
      <c r="W111" s="157"/>
      <c r="X111" s="157"/>
      <c r="Y111" s="13"/>
      <c r="Z111" s="95"/>
      <c r="AA111" s="96">
        <f>SUM(S111:Y111)</f>
        <v>0</v>
      </c>
      <c r="AB111" s="97">
        <f>IF(C111=2015, AA111/3,AA111)+Z111</f>
        <v>0</v>
      </c>
    </row>
    <row r="112" spans="1:47" x14ac:dyDescent="0.25">
      <c r="A112" s="11" t="s">
        <v>415</v>
      </c>
      <c r="B112" s="71" t="s">
        <v>274</v>
      </c>
      <c r="C112" s="62">
        <v>2013</v>
      </c>
      <c r="D112" s="1">
        <f>Q112+G112+F112+H112+E112</f>
        <v>10</v>
      </c>
      <c r="H112" s="120"/>
      <c r="N112" s="50">
        <f>AB112</f>
        <v>10</v>
      </c>
      <c r="O112" s="120"/>
      <c r="P112" s="96">
        <f>SUM(J112:N112)</f>
        <v>10</v>
      </c>
      <c r="Q112" s="97">
        <f>IF(C112=2016, P112/3,P112)+O112</f>
        <v>10</v>
      </c>
      <c r="R112" s="22"/>
      <c r="S112" s="41"/>
      <c r="T112" s="41"/>
      <c r="U112" s="41"/>
      <c r="V112" s="41"/>
      <c r="W112" s="41">
        <f>10</f>
        <v>10</v>
      </c>
      <c r="X112" s="41">
        <f>0</f>
        <v>0</v>
      </c>
      <c r="Y112" s="13"/>
      <c r="Z112" s="95"/>
      <c r="AA112" s="96">
        <f>SUM(S112:Y112)</f>
        <v>10</v>
      </c>
      <c r="AB112" s="97">
        <f>IF(C112=2015, AA112/3,AA112)+Z112</f>
        <v>10</v>
      </c>
    </row>
    <row r="113" spans="1:47" x14ac:dyDescent="0.25">
      <c r="A113" s="11" t="s">
        <v>399</v>
      </c>
      <c r="B113" s="71" t="s">
        <v>63</v>
      </c>
      <c r="C113" s="62">
        <v>2014</v>
      </c>
      <c r="D113" s="1">
        <f>Q113+G113+F113+H113+E113</f>
        <v>73</v>
      </c>
      <c r="H113" s="120"/>
      <c r="I113" s="182"/>
      <c r="L113" s="50">
        <f>37</f>
        <v>37</v>
      </c>
      <c r="N113" s="50">
        <f>AB113</f>
        <v>36</v>
      </c>
      <c r="O113" s="120"/>
      <c r="P113" s="96">
        <f>SUM(J113:N113)</f>
        <v>73</v>
      </c>
      <c r="Q113" s="97">
        <f>IF(C113=2016, P113/3,P113)+O113</f>
        <v>73</v>
      </c>
      <c r="R113" s="22"/>
      <c r="S113" s="41"/>
      <c r="T113" s="41"/>
      <c r="U113" s="41"/>
      <c r="V113" s="41"/>
      <c r="W113" s="41">
        <f>36</f>
        <v>36</v>
      </c>
      <c r="X113" s="41"/>
      <c r="Y113" s="13"/>
      <c r="Z113" s="95"/>
      <c r="AA113" s="96">
        <f>SUM(S113:Y113)</f>
        <v>36</v>
      </c>
      <c r="AB113" s="97">
        <f>IF(C113=2015, AA113/3,AA113)+Z113</f>
        <v>36</v>
      </c>
    </row>
    <row r="114" spans="1:47" x14ac:dyDescent="0.25">
      <c r="A114" s="11" t="s">
        <v>616</v>
      </c>
      <c r="B114" s="71" t="s">
        <v>482</v>
      </c>
      <c r="C114" s="62"/>
      <c r="D114" s="1">
        <f>Q114+G114+F114+H114+E114</f>
        <v>14</v>
      </c>
      <c r="H114" s="158"/>
      <c r="I114" s="22"/>
      <c r="L114" s="50">
        <f>13+1</f>
        <v>14</v>
      </c>
      <c r="O114" s="120"/>
      <c r="P114" s="96">
        <f>SUM(J114:N114)</f>
        <v>14</v>
      </c>
      <c r="Q114" s="97">
        <f>IF(C114=2016, P114/3,P114)+O114</f>
        <v>14</v>
      </c>
      <c r="R114" s="22"/>
      <c r="S114" s="157"/>
      <c r="T114" s="157"/>
      <c r="U114" s="157"/>
      <c r="V114" s="157"/>
      <c r="W114" s="157"/>
      <c r="X114" s="157"/>
      <c r="Y114" s="13"/>
      <c r="Z114" s="95"/>
      <c r="AA114" s="96">
        <f>SUM(S114:Y114)</f>
        <v>0</v>
      </c>
      <c r="AB114" s="97">
        <f>IF(C114=2015, AA114/3,AA114)+Z114</f>
        <v>0</v>
      </c>
    </row>
    <row r="115" spans="1:47" x14ac:dyDescent="0.25">
      <c r="A115" s="11" t="s">
        <v>567</v>
      </c>
      <c r="B115" s="71" t="s">
        <v>554</v>
      </c>
      <c r="C115" s="62">
        <v>2015</v>
      </c>
      <c r="D115" s="1">
        <f>Q115+G115+F115+H115+E115</f>
        <v>161</v>
      </c>
      <c r="F115" s="50">
        <f>96+20+6</f>
        <v>122</v>
      </c>
      <c r="G115" s="50">
        <f>33+3</f>
        <v>36</v>
      </c>
      <c r="H115" s="158"/>
      <c r="I115" s="22"/>
      <c r="M115" s="50">
        <f>0+3</f>
        <v>3</v>
      </c>
      <c r="O115" s="120"/>
      <c r="P115" s="96">
        <f>SUM(J115:N115)</f>
        <v>3</v>
      </c>
      <c r="Q115" s="97">
        <f>IF(C115=2016, P115/3,P115)+O115</f>
        <v>3</v>
      </c>
      <c r="R115" s="22"/>
      <c r="S115" s="157"/>
      <c r="T115" s="157"/>
      <c r="U115" s="157"/>
      <c r="V115" s="157"/>
      <c r="W115" s="157"/>
      <c r="X115" s="157"/>
      <c r="Y115" s="13"/>
      <c r="Z115" s="95"/>
      <c r="AA115" s="96">
        <f>SUM(S115:Y115)</f>
        <v>0</v>
      </c>
      <c r="AB115" s="97">
        <f>IF(C115=2015, AA115/3,AA115)+Z115</f>
        <v>0</v>
      </c>
    </row>
    <row r="116" spans="1:47" x14ac:dyDescent="0.25">
      <c r="A116" s="11" t="s">
        <v>411</v>
      </c>
      <c r="B116" s="11" t="s">
        <v>63</v>
      </c>
      <c r="C116" s="3">
        <v>2014</v>
      </c>
      <c r="D116" s="1">
        <f>Q116+G116+F116+H116+E116</f>
        <v>23</v>
      </c>
      <c r="H116" s="120"/>
      <c r="I116" s="182"/>
      <c r="K116" s="50">
        <f>0</f>
        <v>0</v>
      </c>
      <c r="M116" s="50">
        <f>13</f>
        <v>13</v>
      </c>
      <c r="N116" s="50">
        <f>AB116</f>
        <v>10</v>
      </c>
      <c r="O116" s="120"/>
      <c r="P116" s="96">
        <f>SUM(J116:N116)</f>
        <v>23</v>
      </c>
      <c r="Q116" s="97">
        <f>IF(C116=2016, P116/3,P116)+O116</f>
        <v>23</v>
      </c>
      <c r="R116" s="22"/>
      <c r="W116" s="50">
        <f>10</f>
        <v>10</v>
      </c>
      <c r="Z116" s="95"/>
      <c r="AA116" s="96">
        <f>SUM(S116:Y116)</f>
        <v>10</v>
      </c>
      <c r="AB116" s="97">
        <f>IF(C116=2015, AA116/3,AA116)+Z116</f>
        <v>10</v>
      </c>
    </row>
    <row r="117" spans="1:47" x14ac:dyDescent="0.25">
      <c r="A117" s="11" t="s">
        <v>462</v>
      </c>
      <c r="B117" s="60" t="s">
        <v>7</v>
      </c>
      <c r="C117" s="62">
        <v>2012</v>
      </c>
      <c r="D117" s="1">
        <f>Q117+G117+F117+H117+E117</f>
        <v>80</v>
      </c>
      <c r="H117" s="120"/>
      <c r="K117" s="50">
        <f>24</f>
        <v>24</v>
      </c>
      <c r="L117" s="50">
        <f>32</f>
        <v>32</v>
      </c>
      <c r="M117" s="50">
        <f>0+3+1</f>
        <v>4</v>
      </c>
      <c r="N117" s="50">
        <f>AB117</f>
        <v>20</v>
      </c>
      <c r="O117" s="120"/>
      <c r="P117" s="96">
        <f>SUM(J117:N117)</f>
        <v>80</v>
      </c>
      <c r="Q117" s="97">
        <f>IF(C117=2016, P117/3,P117)+O117</f>
        <v>80</v>
      </c>
      <c r="R117" s="22"/>
      <c r="W117" s="50">
        <f>0</f>
        <v>0</v>
      </c>
      <c r="X117" s="50">
        <f>18+2</f>
        <v>20</v>
      </c>
      <c r="Z117" s="95"/>
      <c r="AA117" s="96">
        <f>SUM(S117:Y117)</f>
        <v>20</v>
      </c>
      <c r="AB117" s="97">
        <f>IF(C117=2015, AA117/3,AA117)+Z117</f>
        <v>20</v>
      </c>
    </row>
    <row r="118" spans="1:47" x14ac:dyDescent="0.25">
      <c r="A118" s="11" t="s">
        <v>633</v>
      </c>
      <c r="B118" s="60" t="s">
        <v>605</v>
      </c>
      <c r="C118" s="62"/>
      <c r="D118" s="1">
        <f>Q118+G118+F118+H118+E118</f>
        <v>21</v>
      </c>
      <c r="H118" s="158"/>
      <c r="I118" s="22"/>
      <c r="L118" s="50">
        <f>21</f>
        <v>21</v>
      </c>
      <c r="O118" s="120"/>
      <c r="P118" s="96">
        <f>SUM(J118:N118)</f>
        <v>21</v>
      </c>
      <c r="Q118" s="97">
        <f>IF(C118=2016, P118/3,P118)+O118</f>
        <v>21</v>
      </c>
      <c r="R118" s="22"/>
      <c r="Z118" s="95"/>
      <c r="AA118" s="96">
        <f>SUM(S118:Y118)</f>
        <v>0</v>
      </c>
      <c r="AB118" s="97">
        <f>IF(C118=2015, AA118/3,AA118)+Z118</f>
        <v>0</v>
      </c>
    </row>
    <row r="119" spans="1:47" x14ac:dyDescent="0.25">
      <c r="A119" s="11" t="s">
        <v>305</v>
      </c>
      <c r="B119" s="71" t="s">
        <v>233</v>
      </c>
      <c r="C119" s="62">
        <v>2012</v>
      </c>
      <c r="D119" s="1">
        <f>Q119+G119+F119+H119+E119</f>
        <v>282</v>
      </c>
      <c r="H119" s="120"/>
      <c r="I119" s="182"/>
      <c r="K119" s="50">
        <f>54</f>
        <v>54</v>
      </c>
      <c r="L119" s="50">
        <f>76</f>
        <v>76</v>
      </c>
      <c r="M119" s="50">
        <f>52</f>
        <v>52</v>
      </c>
      <c r="N119" s="50">
        <f>AB119</f>
        <v>100</v>
      </c>
      <c r="O119" s="120"/>
      <c r="P119" s="96">
        <f>SUM(J119:N119)</f>
        <v>282</v>
      </c>
      <c r="Q119" s="97">
        <f>IF(C119=2016, P119/3,P119)+O119</f>
        <v>282</v>
      </c>
      <c r="R119" s="22"/>
      <c r="V119" s="50">
        <f>49</f>
        <v>49</v>
      </c>
      <c r="X119" s="50">
        <f>51</f>
        <v>51</v>
      </c>
      <c r="Z119" s="95"/>
      <c r="AA119" s="96">
        <f>SUM(S119:Y119)</f>
        <v>100</v>
      </c>
      <c r="AB119" s="97">
        <f>IF(C119=2015, AA119/3,AA119)+Z119</f>
        <v>100</v>
      </c>
    </row>
    <row r="120" spans="1:47" x14ac:dyDescent="0.25">
      <c r="A120" s="11" t="s">
        <v>566</v>
      </c>
      <c r="B120" s="71" t="s">
        <v>7</v>
      </c>
      <c r="C120" s="62">
        <v>2015</v>
      </c>
      <c r="D120" s="1">
        <f>Q120+G120+F120+H120+E120</f>
        <v>0</v>
      </c>
      <c r="H120" s="158"/>
      <c r="I120" s="22"/>
      <c r="M120" s="50">
        <f>0</f>
        <v>0</v>
      </c>
      <c r="O120" s="120"/>
      <c r="P120" s="96">
        <f>SUM(J120:N120)</f>
        <v>0</v>
      </c>
      <c r="Q120" s="97">
        <f>IF(C120=2016, P120/3,P120)+O120</f>
        <v>0</v>
      </c>
      <c r="R120" s="22"/>
      <c r="Z120" s="95"/>
      <c r="AA120" s="96">
        <f>SUM(S120:Y120)</f>
        <v>0</v>
      </c>
      <c r="AB120" s="97">
        <f>IF(C120=2015, AA120/3,AA120)+Z120</f>
        <v>0</v>
      </c>
    </row>
    <row r="121" spans="1:47" x14ac:dyDescent="0.25">
      <c r="A121" s="11" t="s">
        <v>416</v>
      </c>
      <c r="B121" s="71" t="s">
        <v>274</v>
      </c>
      <c r="C121" s="62">
        <v>2013</v>
      </c>
      <c r="D121" s="1">
        <f>Q121+G121+F121+H121+E121</f>
        <v>10</v>
      </c>
      <c r="H121" s="120"/>
      <c r="I121" s="182"/>
      <c r="N121" s="50">
        <f>AB121</f>
        <v>10</v>
      </c>
      <c r="O121" s="120"/>
      <c r="P121" s="96">
        <f>SUM(J121:N121)</f>
        <v>10</v>
      </c>
      <c r="Q121" s="97">
        <f>IF(C121=2016, P121/3,P121)+O121</f>
        <v>10</v>
      </c>
      <c r="R121" s="22"/>
      <c r="W121" s="50">
        <f>10</f>
        <v>10</v>
      </c>
      <c r="X121" s="50">
        <f>0</f>
        <v>0</v>
      </c>
      <c r="Z121" s="95"/>
      <c r="AA121" s="96">
        <f>SUM(S121:Y121)</f>
        <v>10</v>
      </c>
      <c r="AB121" s="97">
        <f>IF(C121=2015, AA121/3,AA121)+Z121</f>
        <v>10</v>
      </c>
    </row>
    <row r="122" spans="1:47" x14ac:dyDescent="0.25">
      <c r="A122" s="11" t="s">
        <v>565</v>
      </c>
      <c r="B122" s="71" t="s">
        <v>554</v>
      </c>
      <c r="C122" s="62">
        <v>2014</v>
      </c>
      <c r="D122" s="1">
        <f>Q122+G122+F122+H122+E122</f>
        <v>181</v>
      </c>
      <c r="F122" s="50">
        <f>82+20+6</f>
        <v>108</v>
      </c>
      <c r="G122" s="50">
        <f>32+3</f>
        <v>35</v>
      </c>
      <c r="H122" s="158"/>
      <c r="I122" s="22"/>
      <c r="K122" s="50">
        <f>35</f>
        <v>35</v>
      </c>
      <c r="M122" s="50">
        <f>0+3</f>
        <v>3</v>
      </c>
      <c r="O122" s="120"/>
      <c r="P122" s="96">
        <f>SUM(J122:N122)</f>
        <v>38</v>
      </c>
      <c r="Q122" s="97">
        <f>IF(C122=2016, P122/3,P122)+O122</f>
        <v>38</v>
      </c>
      <c r="R122" s="22"/>
      <c r="Z122" s="95"/>
      <c r="AA122" s="96">
        <f>SUM(S122:Y122)</f>
        <v>0</v>
      </c>
      <c r="AB122" s="97">
        <f>IF(C122=2015, AA122/3,AA122)+Z122</f>
        <v>0</v>
      </c>
    </row>
    <row r="123" spans="1:47" x14ac:dyDescent="0.25">
      <c r="A123" s="11" t="s">
        <v>408</v>
      </c>
      <c r="B123" s="71" t="s">
        <v>409</v>
      </c>
      <c r="C123" s="62">
        <v>2012</v>
      </c>
      <c r="D123" s="1">
        <f>Q123+G123+F123+H123+E123</f>
        <v>77</v>
      </c>
      <c r="E123" s="177">
        <f>34+4</f>
        <v>38</v>
      </c>
      <c r="F123" s="50">
        <f>22+7</f>
        <v>29</v>
      </c>
      <c r="H123" s="120"/>
      <c r="N123" s="50">
        <f>AB123</f>
        <v>10</v>
      </c>
      <c r="O123" s="120"/>
      <c r="P123" s="96">
        <f>SUM(J123:N123)</f>
        <v>10</v>
      </c>
      <c r="Q123" s="97">
        <f>IF(C123=2016, P123/3,P123)+O123</f>
        <v>10</v>
      </c>
      <c r="R123" s="22"/>
      <c r="W123" s="50">
        <f>10</f>
        <v>10</v>
      </c>
      <c r="Z123" s="95"/>
      <c r="AA123" s="96">
        <f>SUM(S123:Y123)</f>
        <v>10</v>
      </c>
      <c r="AB123" s="97">
        <f>IF(C123=2015, AA123/3,AA123)+Z123</f>
        <v>10</v>
      </c>
    </row>
    <row r="124" spans="1:47" x14ac:dyDescent="0.25">
      <c r="A124" s="11" t="s">
        <v>143</v>
      </c>
      <c r="B124" s="60" t="s">
        <v>64</v>
      </c>
      <c r="C124" s="62">
        <v>2012</v>
      </c>
      <c r="D124" s="1">
        <f>Q124+G124+F124+H124+E124</f>
        <v>0</v>
      </c>
      <c r="H124" s="120"/>
      <c r="N124" s="50">
        <f>AB124</f>
        <v>0</v>
      </c>
      <c r="O124" s="120"/>
      <c r="P124" s="96">
        <f>SUM(J124:N124)</f>
        <v>0</v>
      </c>
      <c r="Q124" s="97">
        <f>IF(C124=2016, P124/3,P124)+O124</f>
        <v>0</v>
      </c>
      <c r="R124" s="22"/>
      <c r="S124" s="41"/>
      <c r="T124" s="41">
        <v>0</v>
      </c>
      <c r="U124" s="41"/>
      <c r="V124" s="41"/>
      <c r="W124" s="41"/>
      <c r="X124" s="41"/>
      <c r="Y124" s="13"/>
      <c r="Z124" s="95"/>
      <c r="AA124" s="96">
        <f>SUM(S124:Y124)</f>
        <v>0</v>
      </c>
      <c r="AB124" s="97">
        <f>IF(C124=2015, AA124/3,AA124)+Z124</f>
        <v>0</v>
      </c>
    </row>
    <row r="125" spans="1:47" x14ac:dyDescent="0.25">
      <c r="A125" s="51" t="s">
        <v>336</v>
      </c>
      <c r="B125" s="51" t="s">
        <v>7</v>
      </c>
      <c r="C125" s="52"/>
      <c r="D125" s="1">
        <f>Q125+G125+F125+H125+E125</f>
        <v>102</v>
      </c>
      <c r="H125" s="120"/>
      <c r="L125" s="50">
        <f>21</f>
        <v>21</v>
      </c>
      <c r="N125" s="50">
        <f>AB125</f>
        <v>81</v>
      </c>
      <c r="O125" s="120"/>
      <c r="P125" s="96">
        <f>SUM(J125:N125)</f>
        <v>102</v>
      </c>
      <c r="Q125" s="97">
        <f>IF(C125=2016, P125/3,P125)+O125</f>
        <v>102</v>
      </c>
      <c r="R125" s="22"/>
      <c r="S125" s="182"/>
      <c r="T125" s="182"/>
      <c r="U125" s="182"/>
      <c r="V125" s="182">
        <f>27</f>
        <v>27</v>
      </c>
      <c r="W125" s="182"/>
      <c r="X125" s="182">
        <f>51</f>
        <v>51</v>
      </c>
      <c r="Y125" s="182">
        <f>3</f>
        <v>3</v>
      </c>
      <c r="Z125" s="95"/>
      <c r="AA125" s="96">
        <f>SUM(S125:Y125)</f>
        <v>81</v>
      </c>
      <c r="AB125" s="97">
        <f>IF(C125=2015, AA125/3,AA125)+Z125</f>
        <v>81</v>
      </c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</row>
    <row r="126" spans="1:47" x14ac:dyDescent="0.25">
      <c r="A126" s="11" t="s">
        <v>414</v>
      </c>
      <c r="B126" s="60" t="s">
        <v>274</v>
      </c>
      <c r="C126" s="62">
        <v>2013</v>
      </c>
      <c r="D126" s="1">
        <f>Q126+G126+F126+H126+E126</f>
        <v>52</v>
      </c>
      <c r="H126" s="120"/>
      <c r="N126" s="50">
        <f>AB126</f>
        <v>52</v>
      </c>
      <c r="O126" s="120"/>
      <c r="P126" s="96">
        <f>SUM(J126:N126)</f>
        <v>52</v>
      </c>
      <c r="Q126" s="97">
        <f>IF(C126=2016, P126/3,P126)+O126</f>
        <v>52</v>
      </c>
      <c r="R126" s="22"/>
      <c r="S126" s="41"/>
      <c r="T126" s="41"/>
      <c r="U126" s="41"/>
      <c r="V126" s="41"/>
      <c r="W126" s="41">
        <f>10</f>
        <v>10</v>
      </c>
      <c r="X126" s="41">
        <f>42</f>
        <v>42</v>
      </c>
      <c r="Y126" s="13"/>
      <c r="Z126" s="95"/>
      <c r="AA126" s="96">
        <f>SUM(S126:Y126)</f>
        <v>52</v>
      </c>
      <c r="AB126" s="97">
        <f>IF(C126=2015, AA126/3,AA126)+Z126</f>
        <v>52</v>
      </c>
    </row>
    <row r="127" spans="1:47" x14ac:dyDescent="0.25">
      <c r="A127" s="11" t="s">
        <v>488</v>
      </c>
      <c r="B127" s="60" t="s">
        <v>274</v>
      </c>
      <c r="C127" s="62">
        <v>2014</v>
      </c>
      <c r="D127" s="1">
        <f>Q127+G127+F127+H127+E127</f>
        <v>0</v>
      </c>
      <c r="H127" s="120"/>
      <c r="N127" s="50">
        <f>AB127</f>
        <v>0</v>
      </c>
      <c r="O127" s="120"/>
      <c r="P127" s="96">
        <f>SUM(J127:N127)</f>
        <v>0</v>
      </c>
      <c r="Q127" s="97">
        <f>IF(C127=2016, P127/3,P127)+O127</f>
        <v>0</v>
      </c>
      <c r="R127" s="22"/>
      <c r="S127" s="41"/>
      <c r="T127" s="41"/>
      <c r="U127" s="41"/>
      <c r="V127" s="41"/>
      <c r="W127" s="41"/>
      <c r="X127" s="41">
        <f>0</f>
        <v>0</v>
      </c>
      <c r="Y127" s="13"/>
      <c r="Z127" s="95"/>
      <c r="AA127" s="96">
        <f>SUM(S127:Y127)</f>
        <v>0</v>
      </c>
      <c r="AB127" s="97">
        <f>IF(C127=2015, AA127/3,AA127)+Z127</f>
        <v>0</v>
      </c>
    </row>
    <row r="128" spans="1:47" x14ac:dyDescent="0.25">
      <c r="A128" s="11" t="s">
        <v>139</v>
      </c>
      <c r="B128" s="60" t="s">
        <v>64</v>
      </c>
      <c r="C128" s="62">
        <v>2014</v>
      </c>
      <c r="D128" s="1">
        <f>Q128+G128+F128+H128+E128</f>
        <v>26</v>
      </c>
      <c r="H128" s="120"/>
      <c r="N128" s="50">
        <f>AB128</f>
        <v>26</v>
      </c>
      <c r="O128" s="120"/>
      <c r="P128" s="96">
        <f>SUM(J128:N128)</f>
        <v>26</v>
      </c>
      <c r="Q128" s="97">
        <f>IF(C128=2016, P128/3,P128)+O128</f>
        <v>26</v>
      </c>
      <c r="R128" s="22"/>
      <c r="S128" s="41"/>
      <c r="T128" s="41">
        <v>8</v>
      </c>
      <c r="U128" s="41">
        <f>18</f>
        <v>18</v>
      </c>
      <c r="V128" s="41"/>
      <c r="W128" s="41"/>
      <c r="X128" s="41"/>
      <c r="Y128" s="13"/>
      <c r="Z128" s="95"/>
      <c r="AA128" s="96">
        <f>SUM(S128:Y128)</f>
        <v>26</v>
      </c>
      <c r="AB128" s="97">
        <f>IF(C128=2015, AA128/3,AA128)+Z128</f>
        <v>26</v>
      </c>
    </row>
    <row r="129" spans="1:28" x14ac:dyDescent="0.25">
      <c r="A129" s="11" t="s">
        <v>694</v>
      </c>
      <c r="B129" s="60" t="s">
        <v>64</v>
      </c>
      <c r="C129" s="62">
        <v>2013</v>
      </c>
      <c r="D129" s="1">
        <f>Q129+G129+F129+H129+E129</f>
        <v>22</v>
      </c>
      <c r="H129" s="158"/>
      <c r="I129" s="22"/>
      <c r="K129" s="50">
        <f>22</f>
        <v>22</v>
      </c>
      <c r="O129" s="120"/>
      <c r="P129" s="96">
        <f>SUM(J129:N129)</f>
        <v>22</v>
      </c>
      <c r="Q129" s="97">
        <f>IF(C129=2016, P129/3,P129)+O129</f>
        <v>22</v>
      </c>
      <c r="R129" s="22"/>
      <c r="S129" s="157"/>
      <c r="T129" s="157"/>
      <c r="U129" s="157"/>
      <c r="V129" s="157"/>
      <c r="W129" s="157"/>
      <c r="X129" s="157"/>
      <c r="Y129" s="13"/>
      <c r="Z129" s="95"/>
      <c r="AA129" s="96">
        <f>SUM(S129:Y129)</f>
        <v>0</v>
      </c>
      <c r="AB129" s="97">
        <f>IF(C129=2015, AA129/3,AA129)+Z129</f>
        <v>0</v>
      </c>
    </row>
    <row r="130" spans="1:28" x14ac:dyDescent="0.25">
      <c r="A130" s="45" t="s">
        <v>85</v>
      </c>
      <c r="B130" s="66" t="s">
        <v>63</v>
      </c>
      <c r="C130" s="46">
        <v>2015</v>
      </c>
      <c r="D130" s="1">
        <f>Q130+G130+F130+H130+E130</f>
        <v>158</v>
      </c>
      <c r="E130" s="177">
        <f>16+4</f>
        <v>20</v>
      </c>
      <c r="F130" s="50">
        <f>72+4</f>
        <v>76</v>
      </c>
      <c r="G130" s="50">
        <f>0</f>
        <v>0</v>
      </c>
      <c r="H130" s="120"/>
      <c r="L130" s="50">
        <f>43</f>
        <v>43</v>
      </c>
      <c r="N130" s="50">
        <f>AB130</f>
        <v>19</v>
      </c>
      <c r="O130" s="120"/>
      <c r="P130" s="96">
        <f>SUM(J130:N130)</f>
        <v>62</v>
      </c>
      <c r="Q130" s="97">
        <f>IF(C130=2016, P130/3,P130)+O130</f>
        <v>62</v>
      </c>
      <c r="R130" s="101"/>
      <c r="S130" s="41"/>
      <c r="T130" s="41">
        <v>39</v>
      </c>
      <c r="U130" s="41">
        <f>18</f>
        <v>18</v>
      </c>
      <c r="V130" s="41">
        <f>0</f>
        <v>0</v>
      </c>
      <c r="W130" s="41"/>
      <c r="X130" s="41"/>
      <c r="Y130" s="133"/>
      <c r="Z130" s="95"/>
      <c r="AA130" s="96">
        <f>SUM(S130:Y130)</f>
        <v>57</v>
      </c>
      <c r="AB130" s="97">
        <f>IF(C130=2015, AA130/3,AA130)+Z130</f>
        <v>19</v>
      </c>
    </row>
    <row r="131" spans="1:28" x14ac:dyDescent="0.25">
      <c r="A131" s="45" t="s">
        <v>785</v>
      </c>
      <c r="B131" s="66" t="s">
        <v>6</v>
      </c>
      <c r="C131" s="46">
        <v>2013</v>
      </c>
      <c r="D131" s="1">
        <f>Q131+G131+F131+H131+E131</f>
        <v>106</v>
      </c>
      <c r="G131" s="50">
        <f>24</f>
        <v>24</v>
      </c>
      <c r="H131" s="120"/>
      <c r="N131" s="50">
        <f>AB131</f>
        <v>82</v>
      </c>
      <c r="O131" s="120"/>
      <c r="P131" s="96">
        <f>SUM(J131:N131)</f>
        <v>82</v>
      </c>
      <c r="Q131" s="97">
        <f>IF(C131=2016, P131/3,P131)+O131</f>
        <v>82</v>
      </c>
      <c r="R131" s="101"/>
      <c r="S131" s="41"/>
      <c r="T131" s="41"/>
      <c r="U131" s="41"/>
      <c r="V131" s="41"/>
      <c r="W131" s="41"/>
      <c r="X131" s="41"/>
      <c r="Y131" s="156"/>
      <c r="Z131" s="95"/>
      <c r="AA131" s="96">
        <f>82</f>
        <v>82</v>
      </c>
      <c r="AB131" s="97">
        <f>IF(C131=2015, AA131/3,AA131)+Z131</f>
        <v>82</v>
      </c>
    </row>
    <row r="132" spans="1:28" x14ac:dyDescent="0.25">
      <c r="A132" s="71" t="s">
        <v>246</v>
      </c>
      <c r="B132" s="71" t="s">
        <v>233</v>
      </c>
      <c r="C132" s="72">
        <v>2012</v>
      </c>
      <c r="D132" s="1">
        <f>Q132+G132+F132+H132+E132</f>
        <v>114</v>
      </c>
      <c r="H132" s="120"/>
      <c r="L132" s="50">
        <f>78</f>
        <v>78</v>
      </c>
      <c r="N132" s="50">
        <f>AB132</f>
        <v>36</v>
      </c>
      <c r="O132" s="120"/>
      <c r="P132" s="96">
        <f>SUM(J132:N132)</f>
        <v>114</v>
      </c>
      <c r="Q132" s="97">
        <f>IF(C132=2016, P132/3,P132)+O132</f>
        <v>114</v>
      </c>
      <c r="R132" s="22"/>
      <c r="U132" s="50">
        <f>36</f>
        <v>36</v>
      </c>
      <c r="Z132" s="95"/>
      <c r="AA132" s="96">
        <f>SUM(S132:Y132)</f>
        <v>36</v>
      </c>
      <c r="AB132" s="97">
        <f>IF(C132=2015, AA132/3,AA132)+Z132</f>
        <v>36</v>
      </c>
    </row>
    <row r="133" spans="1:28" x14ac:dyDescent="0.25">
      <c r="A133" s="71" t="s">
        <v>236</v>
      </c>
      <c r="B133" s="71" t="s">
        <v>233</v>
      </c>
      <c r="C133" s="3">
        <v>2015</v>
      </c>
      <c r="D133" s="1">
        <f>Q133+G133+F133+H133+E133</f>
        <v>27</v>
      </c>
      <c r="H133" s="120"/>
      <c r="N133" s="50">
        <f>AB133</f>
        <v>27</v>
      </c>
      <c r="O133" s="120"/>
      <c r="P133" s="96">
        <f>SUM(J133:N133)</f>
        <v>27</v>
      </c>
      <c r="Q133" s="97">
        <f>IF(C133=2016, P133/3,P133)+O133</f>
        <v>27</v>
      </c>
      <c r="R133" s="22"/>
      <c r="S133" s="41"/>
      <c r="T133" s="41"/>
      <c r="U133" s="41">
        <f>81</f>
        <v>81</v>
      </c>
      <c r="V133" s="41"/>
      <c r="W133" s="41"/>
      <c r="X133" s="41"/>
      <c r="Y133" s="13"/>
      <c r="Z133" s="95"/>
      <c r="AA133" s="96">
        <f>SUM(S133:Y133)</f>
        <v>81</v>
      </c>
      <c r="AB133" s="97">
        <f>IF(C133=2015, AA133/3,AA133)+Z133</f>
        <v>27</v>
      </c>
    </row>
    <row r="134" spans="1:28" x14ac:dyDescent="0.25">
      <c r="A134" s="71" t="s">
        <v>485</v>
      </c>
      <c r="B134" s="71" t="s">
        <v>6</v>
      </c>
      <c r="C134" s="3">
        <v>2013</v>
      </c>
      <c r="D134" s="1">
        <f>Q134+G134+F134+H134+E134</f>
        <v>71</v>
      </c>
      <c r="E134" s="177">
        <f>34+10</f>
        <v>44</v>
      </c>
      <c r="H134" s="120"/>
      <c r="J134" s="50">
        <f>27</f>
        <v>27</v>
      </c>
      <c r="N134" s="50">
        <f>AB134</f>
        <v>0</v>
      </c>
      <c r="O134" s="120"/>
      <c r="P134" s="96">
        <f>SUM(J134:N134)</f>
        <v>27</v>
      </c>
      <c r="Q134" s="97">
        <f>IF(C134=2016, P134/3,P134)+O134</f>
        <v>27</v>
      </c>
      <c r="R134" s="22"/>
      <c r="S134" s="41"/>
      <c r="T134" s="41"/>
      <c r="U134" s="41"/>
      <c r="V134" s="41"/>
      <c r="W134" s="41"/>
      <c r="X134" s="41">
        <f>0</f>
        <v>0</v>
      </c>
      <c r="Y134" s="13"/>
      <c r="Z134" s="95"/>
      <c r="AA134" s="96">
        <f>SUM(S134:Y134)</f>
        <v>0</v>
      </c>
      <c r="AB134" s="97">
        <f>IF(C134=2015, AA134/3,AA134)+Z134</f>
        <v>0</v>
      </c>
    </row>
    <row r="135" spans="1:28" x14ac:dyDescent="0.25">
      <c r="A135" s="71" t="s">
        <v>413</v>
      </c>
      <c r="B135" s="71" t="s">
        <v>7</v>
      </c>
      <c r="C135" s="3">
        <v>2013</v>
      </c>
      <c r="D135" s="1">
        <f>Q135+G135+F135+H135+E135</f>
        <v>88</v>
      </c>
      <c r="E135" s="177">
        <f>0</f>
        <v>0</v>
      </c>
      <c r="F135" s="50">
        <f>22</f>
        <v>22</v>
      </c>
      <c r="G135" s="50">
        <f>0</f>
        <v>0</v>
      </c>
      <c r="H135" s="120"/>
      <c r="K135" s="50">
        <f>0</f>
        <v>0</v>
      </c>
      <c r="L135" s="50">
        <f>43</f>
        <v>43</v>
      </c>
      <c r="M135" s="50">
        <f>13</f>
        <v>13</v>
      </c>
      <c r="N135" s="50">
        <f>AB135</f>
        <v>10</v>
      </c>
      <c r="O135" s="120"/>
      <c r="P135" s="96">
        <f>SUM(J135:N135)</f>
        <v>66</v>
      </c>
      <c r="Q135" s="97">
        <f>IF(C135=2016, P135/3,P135)+O135</f>
        <v>66</v>
      </c>
      <c r="R135" s="22"/>
      <c r="S135" s="41"/>
      <c r="T135" s="41"/>
      <c r="U135" s="41"/>
      <c r="V135" s="41"/>
      <c r="W135" s="41">
        <f>10</f>
        <v>10</v>
      </c>
      <c r="X135" s="41"/>
      <c r="Y135" s="13"/>
      <c r="Z135" s="95"/>
      <c r="AA135" s="96">
        <f>SUM(S135:Y135)</f>
        <v>10</v>
      </c>
      <c r="AB135" s="97">
        <f>IF(C135=2015, AA135/3,AA135)+Z135</f>
        <v>10</v>
      </c>
    </row>
    <row r="136" spans="1:28" x14ac:dyDescent="0.25">
      <c r="A136" s="45" t="s">
        <v>469</v>
      </c>
      <c r="B136" s="66" t="s">
        <v>63</v>
      </c>
      <c r="C136" s="46">
        <v>2016</v>
      </c>
      <c r="D136" s="1">
        <f>Q136+G136+F136+H136+E136</f>
        <v>59</v>
      </c>
      <c r="E136" s="160">
        <f>16+3</f>
        <v>19</v>
      </c>
      <c r="F136" s="160">
        <f>0+3+6</f>
        <v>9</v>
      </c>
      <c r="G136" s="160">
        <f>16</f>
        <v>16</v>
      </c>
      <c r="H136" s="122"/>
      <c r="I136" s="101"/>
      <c r="J136" s="108">
        <f>6</f>
        <v>6</v>
      </c>
      <c r="K136" s="108">
        <f>12</f>
        <v>12</v>
      </c>
      <c r="L136" s="108">
        <f>21</f>
        <v>21</v>
      </c>
      <c r="M136" s="108"/>
      <c r="N136" s="108">
        <f>AB136</f>
        <v>6</v>
      </c>
      <c r="O136" s="122"/>
      <c r="P136" s="96">
        <f>SUM(J136:N136)</f>
        <v>45</v>
      </c>
      <c r="Q136" s="97">
        <f>IF(C136=2016, P136/3,P136)+O136</f>
        <v>15</v>
      </c>
      <c r="R136" s="101"/>
      <c r="S136" s="41"/>
      <c r="T136" s="41"/>
      <c r="U136" s="41"/>
      <c r="V136" s="41"/>
      <c r="W136" s="41"/>
      <c r="X136" s="41">
        <f>6</f>
        <v>6</v>
      </c>
      <c r="Y136" s="181"/>
      <c r="AA136" s="96">
        <f>SUM(S136:Y136)</f>
        <v>6</v>
      </c>
      <c r="AB136" s="97">
        <f>IF(C136=2015, AA136/3,AA136)+Z136</f>
        <v>6</v>
      </c>
    </row>
    <row r="137" spans="1:28" x14ac:dyDescent="0.25">
      <c r="A137" s="11" t="s">
        <v>264</v>
      </c>
      <c r="B137" s="60" t="s">
        <v>64</v>
      </c>
      <c r="C137" s="62">
        <v>2013</v>
      </c>
      <c r="D137" s="1">
        <f>Q137+G137+F137+H137+E137</f>
        <v>6</v>
      </c>
      <c r="E137" s="177">
        <f>0+6</f>
        <v>6</v>
      </c>
      <c r="F137" s="50">
        <f>0</f>
        <v>0</v>
      </c>
      <c r="H137" s="120"/>
      <c r="N137" s="50">
        <f>AB137</f>
        <v>0</v>
      </c>
      <c r="O137" s="120"/>
      <c r="P137" s="96">
        <f>SUM(J137:N137)</f>
        <v>0</v>
      </c>
      <c r="Q137" s="97">
        <f>IF(C137=2016, P137/3,P137)+O137</f>
        <v>0</v>
      </c>
      <c r="R137" s="22"/>
      <c r="U137" s="50">
        <f>0</f>
        <v>0</v>
      </c>
      <c r="Z137" s="95"/>
      <c r="AA137" s="96">
        <f>SUM(S137:Y137)</f>
        <v>0</v>
      </c>
      <c r="AB137" s="97">
        <f>IF(C137=2015, AA137/3,AA137)+Z137</f>
        <v>0</v>
      </c>
    </row>
    <row r="138" spans="1:28" x14ac:dyDescent="0.25">
      <c r="A138" s="11" t="s">
        <v>423</v>
      </c>
      <c r="B138" s="61" t="s">
        <v>7</v>
      </c>
      <c r="C138" s="62">
        <v>2013</v>
      </c>
      <c r="D138" s="1">
        <f>Q138+G138+F138+H138+E138</f>
        <v>72</v>
      </c>
      <c r="E138" s="182"/>
      <c r="F138" s="182">
        <f>22</f>
        <v>22</v>
      </c>
      <c r="G138" s="182">
        <f>12</f>
        <v>12</v>
      </c>
      <c r="H138" s="120"/>
      <c r="I138" s="182"/>
      <c r="J138" s="182"/>
      <c r="K138" s="182">
        <f>0</f>
        <v>0</v>
      </c>
      <c r="L138" s="182">
        <f>0</f>
        <v>0</v>
      </c>
      <c r="M138" s="182">
        <f>32+3+1</f>
        <v>36</v>
      </c>
      <c r="N138" s="182">
        <f>AB138</f>
        <v>2</v>
      </c>
      <c r="O138" s="120"/>
      <c r="P138" s="96">
        <f>SUM(J138:N138)</f>
        <v>38</v>
      </c>
      <c r="Q138" s="97">
        <f>IF(C138=2016, P138/3,P138)+O138</f>
        <v>38</v>
      </c>
      <c r="R138" s="22"/>
      <c r="S138" s="182"/>
      <c r="T138" s="182"/>
      <c r="U138" s="182"/>
      <c r="V138" s="182"/>
      <c r="W138" s="182">
        <f>0</f>
        <v>0</v>
      </c>
      <c r="X138" s="182">
        <f>0+2</f>
        <v>2</v>
      </c>
      <c r="Z138" s="95"/>
      <c r="AA138" s="96">
        <f>SUM(S138:Y138)</f>
        <v>2</v>
      </c>
      <c r="AB138" s="97">
        <f>IF(C138=2015, AA138/3,AA138)+Z138</f>
        <v>2</v>
      </c>
    </row>
    <row r="139" spans="1:28" x14ac:dyDescent="0.25">
      <c r="A139" s="11" t="s">
        <v>617</v>
      </c>
      <c r="B139" s="60" t="s">
        <v>233</v>
      </c>
      <c r="C139" s="62"/>
      <c r="D139" s="1">
        <f>Q139+G139+F139+H139+E139</f>
        <v>13</v>
      </c>
      <c r="H139" s="158"/>
      <c r="I139" s="22"/>
      <c r="L139" s="50">
        <f>13</f>
        <v>13</v>
      </c>
      <c r="O139" s="120"/>
      <c r="P139" s="96">
        <f>SUM(J139:N139)</f>
        <v>13</v>
      </c>
      <c r="Q139" s="97">
        <f>IF(C139=2016, P139/3,P139)+O139</f>
        <v>13</v>
      </c>
      <c r="R139" s="22"/>
      <c r="Z139" s="95"/>
      <c r="AA139" s="96">
        <f>SUM(S139:Y139)</f>
        <v>0</v>
      </c>
      <c r="AB139" s="97">
        <f>IF(C139=2015, AA139/3,AA139)+Z139</f>
        <v>0</v>
      </c>
    </row>
    <row r="140" spans="1:28" x14ac:dyDescent="0.25">
      <c r="A140" s="45" t="s">
        <v>471</v>
      </c>
      <c r="B140" s="66" t="s">
        <v>63</v>
      </c>
      <c r="C140" s="46">
        <v>2016</v>
      </c>
      <c r="D140" s="1">
        <f>Q140+G140+F140+H140+E140</f>
        <v>9.6666666666666661</v>
      </c>
      <c r="E140" s="160"/>
      <c r="F140" s="160"/>
      <c r="G140" s="160"/>
      <c r="H140" s="122"/>
      <c r="I140" s="101"/>
      <c r="J140" s="108"/>
      <c r="K140" s="108">
        <f>12</f>
        <v>12</v>
      </c>
      <c r="L140" s="108">
        <f>17</f>
        <v>17</v>
      </c>
      <c r="M140" s="108">
        <f>0</f>
        <v>0</v>
      </c>
      <c r="N140" s="108">
        <f>AB140</f>
        <v>0</v>
      </c>
      <c r="O140" s="122"/>
      <c r="P140" s="96">
        <f>SUM(J140:N140)</f>
        <v>29</v>
      </c>
      <c r="Q140" s="97">
        <f>IF(C140=2016, P140/3,P140)+O140</f>
        <v>9.6666666666666661</v>
      </c>
      <c r="R140" s="101"/>
      <c r="S140" s="41"/>
      <c r="T140" s="41"/>
      <c r="U140" s="41"/>
      <c r="V140" s="41"/>
      <c r="W140" s="41"/>
      <c r="X140" s="41">
        <f>0</f>
        <v>0</v>
      </c>
      <c r="Y140" s="135"/>
      <c r="AA140" s="96">
        <f>SUM(S140:Y140)</f>
        <v>0</v>
      </c>
      <c r="AB140" s="97">
        <f>IF(C140=2015, AA140/3,AA140)+Z140</f>
        <v>0</v>
      </c>
    </row>
    <row r="141" spans="1:28" x14ac:dyDescent="0.25">
      <c r="A141" s="45" t="s">
        <v>66</v>
      </c>
      <c r="B141" s="66" t="s">
        <v>63</v>
      </c>
      <c r="C141" s="46">
        <v>2015</v>
      </c>
      <c r="D141" s="1">
        <f>Q141+G141+F141+H141+E141</f>
        <v>12</v>
      </c>
      <c r="E141" s="182"/>
      <c r="F141" s="182"/>
      <c r="G141" s="182"/>
      <c r="H141" s="120"/>
      <c r="I141" s="182"/>
      <c r="J141" s="182"/>
      <c r="K141" s="182"/>
      <c r="L141" s="182"/>
      <c r="M141" s="182"/>
      <c r="N141" s="182">
        <f>AB141</f>
        <v>12</v>
      </c>
      <c r="O141" s="120"/>
      <c r="P141" s="96">
        <f>SUM(J141:N141)</f>
        <v>12</v>
      </c>
      <c r="Q141" s="97">
        <f>IF(C141=2016, P141/3,P141)+O141</f>
        <v>12</v>
      </c>
      <c r="R141" s="101"/>
      <c r="S141" s="41"/>
      <c r="T141" s="41">
        <v>36</v>
      </c>
      <c r="U141" s="41">
        <v>0</v>
      </c>
      <c r="V141" s="41">
        <f>0</f>
        <v>0</v>
      </c>
      <c r="W141" s="41"/>
      <c r="X141" s="41"/>
      <c r="Y141" s="88"/>
      <c r="Z141" s="95"/>
      <c r="AA141" s="96">
        <f>SUM(S141:Y141)</f>
        <v>36</v>
      </c>
      <c r="AB141" s="97">
        <f>IF(C141=2015, AA141/3,AA141)+Z141</f>
        <v>12</v>
      </c>
    </row>
    <row r="142" spans="1:28" x14ac:dyDescent="0.25">
      <c r="A142" s="11" t="s">
        <v>325</v>
      </c>
      <c r="B142" s="61" t="s">
        <v>233</v>
      </c>
      <c r="C142" s="62">
        <v>2013</v>
      </c>
      <c r="D142" s="1">
        <f>Q142+G142+F142+H142+E142</f>
        <v>79</v>
      </c>
      <c r="G142" s="50">
        <f>38</f>
        <v>38</v>
      </c>
      <c r="H142" s="120"/>
      <c r="K142" s="50">
        <f>8</f>
        <v>8</v>
      </c>
      <c r="L142" s="50">
        <f>6</f>
        <v>6</v>
      </c>
      <c r="M142" s="50">
        <f>27</f>
        <v>27</v>
      </c>
      <c r="N142" s="50">
        <f>AB142</f>
        <v>0</v>
      </c>
      <c r="O142" s="120"/>
      <c r="P142" s="96">
        <f>SUM(J142:N142)</f>
        <v>41</v>
      </c>
      <c r="Q142" s="97">
        <f>IF(C142=2016, P142/3,P142)+O142</f>
        <v>41</v>
      </c>
      <c r="R142" s="22"/>
      <c r="V142" s="50">
        <f>0</f>
        <v>0</v>
      </c>
      <c r="Z142" s="95"/>
      <c r="AA142" s="96">
        <f>SUM(S142:Y142)</f>
        <v>0</v>
      </c>
      <c r="AB142" s="97">
        <f>IF(C142=2015, AA142/3,AA142)+Z142</f>
        <v>0</v>
      </c>
    </row>
    <row r="143" spans="1:28" x14ac:dyDescent="0.25">
      <c r="A143" s="71" t="s">
        <v>251</v>
      </c>
      <c r="B143" s="71" t="s">
        <v>233</v>
      </c>
      <c r="C143" s="72">
        <v>2013</v>
      </c>
      <c r="D143" s="1">
        <f>Q143+G143+F143+H143+E143</f>
        <v>0</v>
      </c>
      <c r="H143" s="120"/>
      <c r="N143" s="50">
        <f>AB143</f>
        <v>0</v>
      </c>
      <c r="O143" s="120"/>
      <c r="P143" s="96">
        <f>SUM(J143:N143)</f>
        <v>0</v>
      </c>
      <c r="Q143" s="97">
        <f>IF(C143=2016, P143/3,P143)+O143</f>
        <v>0</v>
      </c>
      <c r="R143" s="22"/>
      <c r="U143" s="50">
        <f>0</f>
        <v>0</v>
      </c>
      <c r="Z143" s="95"/>
      <c r="AA143" s="96">
        <f>SUM(S143:Y143)</f>
        <v>0</v>
      </c>
      <c r="AB143" s="97">
        <f>IF(C143=2015, AA143/3,AA143)+Z143</f>
        <v>0</v>
      </c>
    </row>
    <row r="144" spans="1:28" x14ac:dyDescent="0.25">
      <c r="A144" s="71" t="s">
        <v>480</v>
      </c>
      <c r="B144" s="71" t="s">
        <v>7</v>
      </c>
      <c r="C144" s="72">
        <v>2014</v>
      </c>
      <c r="D144" s="1">
        <f>Q144+G144+F144+H144+E144</f>
        <v>59</v>
      </c>
      <c r="H144" s="120"/>
      <c r="K144" s="50">
        <f>17</f>
        <v>17</v>
      </c>
      <c r="L144" s="50">
        <f>25</f>
        <v>25</v>
      </c>
      <c r="M144" s="50">
        <f>0</f>
        <v>0</v>
      </c>
      <c r="N144" s="50">
        <f>AB144</f>
        <v>17</v>
      </c>
      <c r="O144" s="120"/>
      <c r="P144" s="96">
        <f>SUM(J144:N144)</f>
        <v>59</v>
      </c>
      <c r="Q144" s="97">
        <f>IF(C144=2016, P144/3,P144)+O144</f>
        <v>59</v>
      </c>
      <c r="R144" s="22"/>
      <c r="X144" s="50">
        <f>17</f>
        <v>17</v>
      </c>
      <c r="Z144" s="95"/>
      <c r="AA144" s="96">
        <f>SUM(S144:Y144)</f>
        <v>17</v>
      </c>
      <c r="AB144" s="97">
        <f>IF(C144=2015, AA144/3,AA144)+Z144</f>
        <v>17</v>
      </c>
    </row>
    <row r="145" spans="1:28" x14ac:dyDescent="0.25">
      <c r="A145" s="71" t="s">
        <v>490</v>
      </c>
      <c r="B145" s="71" t="s">
        <v>7</v>
      </c>
      <c r="C145" s="72">
        <v>2014</v>
      </c>
      <c r="D145" s="1">
        <f>Q145+G145+F145+H145+E145</f>
        <v>197</v>
      </c>
      <c r="E145" s="177">
        <f>0</f>
        <v>0</v>
      </c>
      <c r="F145" s="50">
        <f>22</f>
        <v>22</v>
      </c>
      <c r="G145" s="50">
        <f>12</f>
        <v>12</v>
      </c>
      <c r="H145" s="120"/>
      <c r="K145" s="50">
        <f>36+24</f>
        <v>60</v>
      </c>
      <c r="L145" s="50">
        <f>12</f>
        <v>12</v>
      </c>
      <c r="M145" s="50">
        <f>16+21+1</f>
        <v>38</v>
      </c>
      <c r="N145" s="50">
        <f>AB145</f>
        <v>53</v>
      </c>
      <c r="O145" s="120"/>
      <c r="P145" s="96">
        <f>SUM(J145:N145)</f>
        <v>163</v>
      </c>
      <c r="Q145" s="97">
        <f>IF(C145=2016, P145/3,P145)+O145</f>
        <v>163</v>
      </c>
      <c r="R145" s="22"/>
      <c r="X145" s="50">
        <f>36+15+2</f>
        <v>53</v>
      </c>
      <c r="Z145" s="95"/>
      <c r="AA145" s="96">
        <f>SUM(S145:Y145)</f>
        <v>53</v>
      </c>
      <c r="AB145" s="97">
        <f>IF(C145=2015, AA145/3,AA145)+Z145</f>
        <v>53</v>
      </c>
    </row>
    <row r="146" spans="1:28" x14ac:dyDescent="0.25">
      <c r="A146" s="71" t="s">
        <v>407</v>
      </c>
      <c r="B146" s="71" t="s">
        <v>7</v>
      </c>
      <c r="C146" s="72">
        <v>2013</v>
      </c>
      <c r="D146" s="1">
        <f>Q146+G146+F146+H146+E146</f>
        <v>91</v>
      </c>
      <c r="F146" s="50">
        <f>50</f>
        <v>50</v>
      </c>
      <c r="H146" s="120"/>
      <c r="L146" s="50">
        <f>0</f>
        <v>0</v>
      </c>
      <c r="M146" s="50">
        <f>0+3+1</f>
        <v>4</v>
      </c>
      <c r="N146" s="50">
        <f>AB146</f>
        <v>37</v>
      </c>
      <c r="O146" s="120"/>
      <c r="P146" s="96">
        <f>SUM(J146:N146)</f>
        <v>41</v>
      </c>
      <c r="Q146" s="97">
        <f>IF(C146=2016, P146/3,P146)+O146</f>
        <v>41</v>
      </c>
      <c r="R146" s="22"/>
      <c r="W146" s="50">
        <f>21</f>
        <v>21</v>
      </c>
      <c r="X146" s="50">
        <f>14+2</f>
        <v>16</v>
      </c>
      <c r="Z146" s="95"/>
      <c r="AA146" s="96">
        <f>SUM(S146:Y146)</f>
        <v>37</v>
      </c>
      <c r="AB146" s="97">
        <f>IF(C146=2015, AA146/3,AA146)+Z146</f>
        <v>37</v>
      </c>
    </row>
    <row r="147" spans="1:28" x14ac:dyDescent="0.25">
      <c r="A147" s="45" t="s">
        <v>69</v>
      </c>
      <c r="B147" s="66" t="s">
        <v>64</v>
      </c>
      <c r="C147" s="46">
        <v>2016</v>
      </c>
      <c r="D147" s="1">
        <f>Q147+G147+F147+H147+E147</f>
        <v>4</v>
      </c>
      <c r="E147" s="160"/>
      <c r="F147" s="160"/>
      <c r="G147" s="160"/>
      <c r="H147" s="122"/>
      <c r="I147" s="101"/>
      <c r="J147" s="108"/>
      <c r="K147" s="108"/>
      <c r="L147" s="108"/>
      <c r="M147" s="108"/>
      <c r="N147" s="108">
        <f>AB147</f>
        <v>12</v>
      </c>
      <c r="O147" s="122"/>
      <c r="P147" s="96">
        <f>SUM(J147:N147)</f>
        <v>12</v>
      </c>
      <c r="Q147" s="97">
        <f>IF(C147=2016, P147/3,P147)+O147</f>
        <v>4</v>
      </c>
      <c r="R147" s="101"/>
      <c r="S147" s="41"/>
      <c r="T147" s="41">
        <v>12</v>
      </c>
      <c r="U147" s="41"/>
      <c r="V147" s="41"/>
      <c r="W147" s="41"/>
      <c r="X147" s="41"/>
      <c r="Y147" s="69"/>
      <c r="AA147" s="96">
        <f>SUM(S147:Y147)</f>
        <v>12</v>
      </c>
      <c r="AB147" s="97">
        <f>IF(C147=2015, AA147/3,AA147)+Z147</f>
        <v>12</v>
      </c>
    </row>
    <row r="148" spans="1:28" x14ac:dyDescent="0.25">
      <c r="A148" s="11" t="s">
        <v>46</v>
      </c>
      <c r="B148" s="11" t="s">
        <v>40</v>
      </c>
      <c r="C148" s="3">
        <v>2013</v>
      </c>
      <c r="D148" s="1">
        <f>Q148+G148+F148+H148+E148</f>
        <v>4</v>
      </c>
      <c r="H148" s="120"/>
      <c r="N148" s="50">
        <f>AB148</f>
        <v>4</v>
      </c>
      <c r="O148" s="120"/>
      <c r="P148" s="96">
        <f>SUM(J148:N148)</f>
        <v>4</v>
      </c>
      <c r="Q148" s="97">
        <f>IF(C148=2016, P148/3,P148)+O148</f>
        <v>4</v>
      </c>
      <c r="R148" s="22"/>
      <c r="S148" s="50">
        <v>4</v>
      </c>
      <c r="Z148" s="95"/>
      <c r="AA148" s="96">
        <f>SUM(S148:Y148)</f>
        <v>4</v>
      </c>
      <c r="AB148" s="97">
        <f>IF(C148=2015, AA148/3,AA148)+Z148</f>
        <v>4</v>
      </c>
    </row>
    <row r="149" spans="1:28" x14ac:dyDescent="0.25">
      <c r="A149" s="71" t="s">
        <v>609</v>
      </c>
      <c r="B149" s="71" t="s">
        <v>233</v>
      </c>
      <c r="C149" s="72">
        <v>2012</v>
      </c>
      <c r="D149" s="1">
        <f>Q149+G149+F149+H149+E149</f>
        <v>107</v>
      </c>
      <c r="H149" s="158"/>
      <c r="I149" s="22"/>
      <c r="J149" s="50">
        <f>26</f>
        <v>26</v>
      </c>
      <c r="K149" s="50">
        <f>30</f>
        <v>30</v>
      </c>
      <c r="L149" s="50">
        <f>51</f>
        <v>51</v>
      </c>
      <c r="O149" s="120"/>
      <c r="P149" s="96">
        <f>SUM(J149:N149)</f>
        <v>107</v>
      </c>
      <c r="Q149" s="97">
        <f>IF(C149=2016, P149/3,P149)+O149</f>
        <v>107</v>
      </c>
      <c r="R149" s="22"/>
      <c r="Z149" s="95"/>
      <c r="AA149" s="96">
        <f>SUM(S149:Y149)</f>
        <v>0</v>
      </c>
      <c r="AB149" s="97">
        <f>IF(C149=2015, AA149/3,AA149)+Z149</f>
        <v>0</v>
      </c>
    </row>
    <row r="150" spans="1:28" x14ac:dyDescent="0.25">
      <c r="A150" s="71" t="s">
        <v>693</v>
      </c>
      <c r="B150" s="71" t="s">
        <v>554</v>
      </c>
      <c r="C150" s="72">
        <v>2013</v>
      </c>
      <c r="D150" s="1">
        <f>Q150+G150+F150+H150+E150</f>
        <v>28</v>
      </c>
      <c r="H150" s="158"/>
      <c r="I150" s="22"/>
      <c r="K150" s="50">
        <f>28</f>
        <v>28</v>
      </c>
      <c r="O150" s="120"/>
      <c r="P150" s="96">
        <f>SUM(J150:N150)</f>
        <v>28</v>
      </c>
      <c r="Q150" s="97">
        <f>IF(C150=2016, P150/3,P150)+O150</f>
        <v>28</v>
      </c>
      <c r="R150" s="22"/>
      <c r="Z150" s="95"/>
      <c r="AA150" s="96">
        <f>SUM(S150:Y150)</f>
        <v>0</v>
      </c>
      <c r="AB150" s="97">
        <f>IF(C150=2015, AA150/3,AA150)+Z150</f>
        <v>0</v>
      </c>
    </row>
    <row r="151" spans="1:28" x14ac:dyDescent="0.25">
      <c r="A151" s="71" t="s">
        <v>620</v>
      </c>
      <c r="B151" s="71" t="s">
        <v>482</v>
      </c>
      <c r="C151" s="72"/>
      <c r="D151" s="1">
        <f>Q151+G151+F151+H151+E151</f>
        <v>6</v>
      </c>
      <c r="H151" s="158"/>
      <c r="I151" s="22"/>
      <c r="L151" s="50">
        <f>6</f>
        <v>6</v>
      </c>
      <c r="O151" s="120"/>
      <c r="P151" s="96">
        <f>SUM(J151:N151)</f>
        <v>6</v>
      </c>
      <c r="Q151" s="97">
        <f>IF(C151=2016, P151/3,P151)+O151</f>
        <v>6</v>
      </c>
      <c r="R151" s="22"/>
      <c r="Z151" s="95"/>
      <c r="AA151" s="96">
        <f>SUM(S151:Y151)</f>
        <v>0</v>
      </c>
      <c r="AB151" s="97">
        <f>IF(C151=2015, AA151/3,AA151)+Z151</f>
        <v>0</v>
      </c>
    </row>
    <row r="152" spans="1:28" ht="14.25" customHeight="1" x14ac:dyDescent="0.25">
      <c r="A152" s="71" t="s">
        <v>574</v>
      </c>
      <c r="B152" s="71" t="s">
        <v>64</v>
      </c>
      <c r="C152" s="72">
        <v>2014</v>
      </c>
      <c r="D152" s="1">
        <f>Q152+G152+F152+H152+E152</f>
        <v>267</v>
      </c>
      <c r="E152" s="177">
        <f>30+9+9+6</f>
        <v>54</v>
      </c>
      <c r="F152" s="50">
        <f>0+18</f>
        <v>18</v>
      </c>
      <c r="G152" s="50">
        <f>30</f>
        <v>30</v>
      </c>
      <c r="H152" s="158"/>
      <c r="I152" s="22"/>
      <c r="K152" s="50">
        <f>0</f>
        <v>0</v>
      </c>
      <c r="L152" s="50">
        <f>135</f>
        <v>135</v>
      </c>
      <c r="M152" s="50">
        <f>24+6</f>
        <v>30</v>
      </c>
      <c r="O152" s="120"/>
      <c r="P152" s="96">
        <f>SUM(J152:N152)</f>
        <v>165</v>
      </c>
      <c r="Q152" s="97">
        <f>IF(C152=2016, P152/3,P152)+O152</f>
        <v>165</v>
      </c>
      <c r="R152" s="22"/>
      <c r="Z152" s="95"/>
      <c r="AA152" s="96">
        <f>SUM(S152:Y152)</f>
        <v>0</v>
      </c>
      <c r="AB152" s="97">
        <f>IF(C152=2015, AA152/3,AA152)+Z152</f>
        <v>0</v>
      </c>
    </row>
    <row r="153" spans="1:28" x14ac:dyDescent="0.25">
      <c r="A153" s="11" t="s">
        <v>486</v>
      </c>
      <c r="B153" s="11" t="s">
        <v>274</v>
      </c>
      <c r="C153" s="3">
        <v>2014</v>
      </c>
      <c r="D153" s="1">
        <f>Q153+G153+F153+H153+E153</f>
        <v>0</v>
      </c>
      <c r="H153" s="120"/>
      <c r="N153" s="50">
        <f>AB153</f>
        <v>0</v>
      </c>
      <c r="O153" s="120"/>
      <c r="P153" s="96">
        <f>SUM(J153:N153)</f>
        <v>0</v>
      </c>
      <c r="Q153" s="97">
        <f>IF(C153=2016, P153/3,P153)+O153</f>
        <v>0</v>
      </c>
      <c r="R153" s="22"/>
      <c r="X153" s="50">
        <f>0</f>
        <v>0</v>
      </c>
      <c r="Z153" s="95"/>
      <c r="AA153" s="96">
        <f>SUM(S153:Y153)</f>
        <v>0</v>
      </c>
      <c r="AB153" s="97">
        <f>IF(C153=2015, AA153/3,AA153)+Z153</f>
        <v>0</v>
      </c>
    </row>
    <row r="154" spans="1:28" x14ac:dyDescent="0.25">
      <c r="A154" s="45" t="s">
        <v>435</v>
      </c>
      <c r="B154" s="66" t="s">
        <v>409</v>
      </c>
      <c r="C154" s="46">
        <v>2015</v>
      </c>
      <c r="D154" s="1">
        <f>Q154+G154+F154+H154+E154</f>
        <v>0</v>
      </c>
      <c r="H154" s="120"/>
      <c r="N154" s="50">
        <f>AB154</f>
        <v>0</v>
      </c>
      <c r="O154" s="120"/>
      <c r="P154" s="96">
        <f>SUM(J154:N154)</f>
        <v>0</v>
      </c>
      <c r="Q154" s="97">
        <f>IF(C154=2016, P154/3,P154)+O154</f>
        <v>0</v>
      </c>
      <c r="R154" s="101"/>
      <c r="S154" s="41"/>
      <c r="T154" s="41"/>
      <c r="U154" s="41"/>
      <c r="V154" s="41"/>
      <c r="W154" s="41">
        <f>0</f>
        <v>0</v>
      </c>
      <c r="X154" s="41"/>
      <c r="Y154" s="135"/>
      <c r="Z154" s="95"/>
      <c r="AA154" s="96">
        <f>SUM(S154:Y154)</f>
        <v>0</v>
      </c>
      <c r="AB154" s="97">
        <f>IF(C154=2015, AA154/3,AA154)+Z154</f>
        <v>0</v>
      </c>
    </row>
    <row r="155" spans="1:28" x14ac:dyDescent="0.25">
      <c r="A155" s="11" t="s">
        <v>845</v>
      </c>
      <c r="B155" s="11" t="s">
        <v>482</v>
      </c>
      <c r="C155" s="3">
        <v>2014</v>
      </c>
      <c r="D155" s="1">
        <f>Q155+G155+F155+H155+E155</f>
        <v>16</v>
      </c>
      <c r="F155" s="50">
        <f>13+2+1</f>
        <v>16</v>
      </c>
      <c r="H155" s="158"/>
      <c r="I155" s="22"/>
      <c r="K155" s="50">
        <f>0</f>
        <v>0</v>
      </c>
      <c r="O155" s="120"/>
      <c r="P155" s="96">
        <f>SUM(J155:N155)</f>
        <v>0</v>
      </c>
      <c r="Q155" s="97">
        <f>IF(C155=2016, P155/3,P155)+O155</f>
        <v>0</v>
      </c>
      <c r="R155" s="22"/>
      <c r="Z155" s="95"/>
      <c r="AA155" s="96">
        <f>SUM(S155:Y155)</f>
        <v>0</v>
      </c>
      <c r="AB155" s="97">
        <f>IF(C155=2015, AA155/3,AA155)+Z155</f>
        <v>0</v>
      </c>
    </row>
    <row r="156" spans="1:28" x14ac:dyDescent="0.25">
      <c r="A156" s="45" t="s">
        <v>560</v>
      </c>
      <c r="B156" s="66" t="s">
        <v>554</v>
      </c>
      <c r="C156" s="46">
        <v>2012</v>
      </c>
      <c r="D156" s="1">
        <f>Q156+G156+F156+H156+E156</f>
        <v>250</v>
      </c>
      <c r="E156" s="160"/>
      <c r="F156" s="160">
        <f>72+18+6</f>
        <v>96</v>
      </c>
      <c r="G156" s="160">
        <f>16+4</f>
        <v>20</v>
      </c>
      <c r="H156" s="158"/>
      <c r="I156" s="101"/>
      <c r="K156" s="50">
        <f>32+33</f>
        <v>65</v>
      </c>
      <c r="M156" s="50">
        <f>27+42</f>
        <v>69</v>
      </c>
      <c r="O156" s="120"/>
      <c r="P156" s="96">
        <f>SUM(J156:N156)</f>
        <v>134</v>
      </c>
      <c r="Q156" s="97">
        <f>IF(C156=2016, P156/3,P156)+O156</f>
        <v>134</v>
      </c>
      <c r="R156" s="101"/>
      <c r="S156" s="157"/>
      <c r="T156" s="157"/>
      <c r="U156" s="157"/>
      <c r="V156" s="157"/>
      <c r="W156" s="157"/>
      <c r="X156" s="157"/>
      <c r="Y156" s="151"/>
      <c r="Z156" s="95"/>
      <c r="AA156" s="96">
        <f>SUM(S156:Y156)</f>
        <v>0</v>
      </c>
      <c r="AB156" s="97">
        <f>IF(C156=2015, AA156/3,AA156)+Z156</f>
        <v>0</v>
      </c>
    </row>
    <row r="157" spans="1:28" x14ac:dyDescent="0.25">
      <c r="A157" s="11" t="s">
        <v>120</v>
      </c>
      <c r="B157" s="60" t="s">
        <v>87</v>
      </c>
      <c r="C157" s="62">
        <v>2012</v>
      </c>
      <c r="D157" s="1">
        <f>Q157+G157+F157+H157+E157</f>
        <v>73</v>
      </c>
      <c r="H157" s="120"/>
      <c r="N157" s="50">
        <f>AB157</f>
        <v>73</v>
      </c>
      <c r="O157" s="120"/>
      <c r="P157" s="96">
        <f>SUM(J157:N157)</f>
        <v>73</v>
      </c>
      <c r="Q157" s="97">
        <f>IF(C157=2016, P157/3,P157)+O157</f>
        <v>73</v>
      </c>
      <c r="R157" s="22"/>
      <c r="S157" s="41"/>
      <c r="T157" s="41">
        <f>34+3</f>
        <v>37</v>
      </c>
      <c r="U157" s="41"/>
      <c r="V157" s="41">
        <f>36</f>
        <v>36</v>
      </c>
      <c r="W157" s="41"/>
      <c r="X157" s="41"/>
      <c r="Y157" s="13"/>
      <c r="Z157" s="95"/>
      <c r="AA157" s="96">
        <f>SUM(S157:Y157)</f>
        <v>73</v>
      </c>
      <c r="AB157" s="97">
        <f>IF(C157=2015, AA157/3,AA157)+Z157</f>
        <v>73</v>
      </c>
    </row>
    <row r="158" spans="1:28" x14ac:dyDescent="0.25">
      <c r="A158" s="11" t="s">
        <v>263</v>
      </c>
      <c r="B158" s="60" t="s">
        <v>64</v>
      </c>
      <c r="C158" s="62">
        <v>2014</v>
      </c>
      <c r="D158" s="1">
        <f>Q158+G158+F158+H158+E158</f>
        <v>87</v>
      </c>
      <c r="E158" s="177">
        <f>27+9+6</f>
        <v>42</v>
      </c>
      <c r="F158" s="50">
        <f>0</f>
        <v>0</v>
      </c>
      <c r="H158" s="120"/>
      <c r="K158" s="50">
        <f>0</f>
        <v>0</v>
      </c>
      <c r="L158" s="50">
        <f>42</f>
        <v>42</v>
      </c>
      <c r="N158" s="50">
        <f>AB158</f>
        <v>3</v>
      </c>
      <c r="O158" s="120"/>
      <c r="P158" s="96">
        <f>SUM(J158:N158)</f>
        <v>45</v>
      </c>
      <c r="Q158" s="97">
        <f>IF(C158=2016, P158/3,P158)+O158</f>
        <v>45</v>
      </c>
      <c r="R158" s="22"/>
      <c r="S158" s="41"/>
      <c r="T158" s="41"/>
      <c r="U158" s="41">
        <f>3</f>
        <v>3</v>
      </c>
      <c r="V158" s="41"/>
      <c r="W158" s="41"/>
      <c r="X158" s="41"/>
      <c r="Y158" s="13"/>
      <c r="Z158" s="95"/>
      <c r="AA158" s="96">
        <f>SUM(S158:Y158)</f>
        <v>3</v>
      </c>
      <c r="AB158" s="97">
        <f>IF(C158=2015, AA158/3,AA158)+Z158</f>
        <v>3</v>
      </c>
    </row>
    <row r="159" spans="1:28" x14ac:dyDescent="0.25">
      <c r="A159" s="11" t="s">
        <v>572</v>
      </c>
      <c r="B159" s="60" t="s">
        <v>570</v>
      </c>
      <c r="C159" s="62">
        <v>2012</v>
      </c>
      <c r="D159" s="1">
        <f>Q159+G159+F159+H159+E159</f>
        <v>16</v>
      </c>
      <c r="H159" s="158"/>
      <c r="I159" s="22"/>
      <c r="M159" s="50">
        <f>16</f>
        <v>16</v>
      </c>
      <c r="O159" s="120"/>
      <c r="P159" s="96">
        <f>SUM(J159:N159)</f>
        <v>16</v>
      </c>
      <c r="Q159" s="97">
        <f>IF(C159=2016, P159/3,P159)+O159</f>
        <v>16</v>
      </c>
      <c r="R159" s="22"/>
      <c r="S159" s="157"/>
      <c r="T159" s="157"/>
      <c r="U159" s="157"/>
      <c r="V159" s="157"/>
      <c r="W159" s="157"/>
      <c r="X159" s="157"/>
      <c r="Y159" s="13"/>
      <c r="Z159" s="95"/>
      <c r="AA159" s="96">
        <f>SUM(S159:Y159)</f>
        <v>0</v>
      </c>
      <c r="AB159" s="97">
        <f>IF(C159=2015, AA159/3,AA159)+Z159</f>
        <v>0</v>
      </c>
    </row>
    <row r="160" spans="1:28" x14ac:dyDescent="0.25">
      <c r="A160" s="11" t="s">
        <v>632</v>
      </c>
      <c r="B160" s="60" t="s">
        <v>605</v>
      </c>
      <c r="C160" s="62"/>
      <c r="D160" s="1">
        <f>Q160+G160+F160+H160+E160</f>
        <v>21</v>
      </c>
      <c r="H160" s="158"/>
      <c r="I160" s="22"/>
      <c r="L160" s="50">
        <f>21</f>
        <v>21</v>
      </c>
      <c r="O160" s="120"/>
      <c r="P160" s="96">
        <f>SUM(J160:N160)</f>
        <v>21</v>
      </c>
      <c r="Q160" s="97">
        <f>IF(C160=2016, P160/3,P160)+O160</f>
        <v>21</v>
      </c>
      <c r="R160" s="22"/>
      <c r="S160" s="157"/>
      <c r="T160" s="157"/>
      <c r="U160" s="157"/>
      <c r="V160" s="157"/>
      <c r="W160" s="157"/>
      <c r="X160" s="157"/>
      <c r="Y160" s="13"/>
      <c r="Z160" s="95"/>
      <c r="AA160" s="96">
        <f>SUM(S160:Y160)</f>
        <v>0</v>
      </c>
      <c r="AB160" s="97">
        <f>IF(C160=2015, AA160/3,AA160)+Z160</f>
        <v>0</v>
      </c>
    </row>
    <row r="161" spans="1:28" x14ac:dyDescent="0.25">
      <c r="A161" s="71" t="s">
        <v>248</v>
      </c>
      <c r="B161" s="71" t="s">
        <v>233</v>
      </c>
      <c r="C161" s="72">
        <v>2014</v>
      </c>
      <c r="D161" s="1">
        <f>Q161+G161+F161+H161+E161</f>
        <v>18</v>
      </c>
      <c r="H161" s="120"/>
      <c r="N161" s="50">
        <f>AB161</f>
        <v>18</v>
      </c>
      <c r="O161" s="120"/>
      <c r="P161" s="96">
        <f>SUM(J161:N161)</f>
        <v>18</v>
      </c>
      <c r="Q161" s="97">
        <f>IF(C161=2016, P161/3,P161)+O161</f>
        <v>18</v>
      </c>
      <c r="R161" s="22"/>
      <c r="U161" s="50">
        <f>18</f>
        <v>18</v>
      </c>
      <c r="Z161" s="95"/>
      <c r="AA161" s="96">
        <f>SUM(S161:Y161)</f>
        <v>18</v>
      </c>
      <c r="AB161" s="97">
        <f>IF(C161=2015, AA161/3,AA161)+Z161</f>
        <v>18</v>
      </c>
    </row>
    <row r="162" spans="1:28" x14ac:dyDescent="0.25">
      <c r="A162" s="71" t="s">
        <v>618</v>
      </c>
      <c r="B162" s="71" t="s">
        <v>482</v>
      </c>
      <c r="C162" s="72"/>
      <c r="D162" s="1">
        <f>Q162+G162+F162+H162+E162</f>
        <v>13</v>
      </c>
      <c r="H162" s="158"/>
      <c r="I162" s="22"/>
      <c r="L162" s="50">
        <f>13</f>
        <v>13</v>
      </c>
      <c r="O162" s="120"/>
      <c r="P162" s="96">
        <f>SUM(J162:N162)</f>
        <v>13</v>
      </c>
      <c r="Q162" s="97">
        <f>IF(C162=2016, P162/3,P162)+O162</f>
        <v>13</v>
      </c>
      <c r="R162" s="22"/>
      <c r="Z162" s="95"/>
      <c r="AA162" s="96">
        <f>SUM(S162:Y162)</f>
        <v>0</v>
      </c>
      <c r="AB162" s="97">
        <f>IF(C162=2015, AA162/3,AA162)+Z162</f>
        <v>0</v>
      </c>
    </row>
    <row r="163" spans="1:28" x14ac:dyDescent="0.25">
      <c r="A163" s="71" t="s">
        <v>240</v>
      </c>
      <c r="B163" s="71" t="s">
        <v>233</v>
      </c>
      <c r="C163" s="72">
        <v>2012</v>
      </c>
      <c r="D163" s="1">
        <f>Q163+G163+F163+H163+E163</f>
        <v>48</v>
      </c>
      <c r="H163" s="120"/>
      <c r="N163" s="50">
        <f>AB163</f>
        <v>48</v>
      </c>
      <c r="O163" s="120"/>
      <c r="P163" s="96">
        <f>SUM(J163:N163)</f>
        <v>48</v>
      </c>
      <c r="Q163" s="97">
        <f>IF(C163=2016, P163/3,P163)+O163</f>
        <v>48</v>
      </c>
      <c r="R163" s="22"/>
      <c r="U163" s="50">
        <f>48</f>
        <v>48</v>
      </c>
      <c r="Z163" s="95"/>
      <c r="AA163" s="96">
        <f>SUM(S163:Y163)</f>
        <v>48</v>
      </c>
      <c r="AB163" s="97">
        <f>IF(C163=2015, AA163/3,AA163)+Z163</f>
        <v>48</v>
      </c>
    </row>
    <row r="164" spans="1:28" x14ac:dyDescent="0.25">
      <c r="A164" s="71" t="s">
        <v>630</v>
      </c>
      <c r="B164" s="71" t="s">
        <v>605</v>
      </c>
      <c r="C164" s="72"/>
      <c r="D164" s="1">
        <f>Q164+G164+F164+H164+E164</f>
        <v>48</v>
      </c>
      <c r="H164" s="158"/>
      <c r="I164" s="22"/>
      <c r="L164" s="50">
        <f>48</f>
        <v>48</v>
      </c>
      <c r="O164" s="120"/>
      <c r="P164" s="96">
        <f>SUM(J164:N164)</f>
        <v>48</v>
      </c>
      <c r="Q164" s="97">
        <f>IF(C164=2016, P164/3,P164)+O164</f>
        <v>48</v>
      </c>
      <c r="R164" s="22"/>
      <c r="Z164" s="95"/>
      <c r="AA164" s="96">
        <f>SUM(S164:Y164)</f>
        <v>0</v>
      </c>
      <c r="AB164" s="97">
        <f>IF(C164=2015, AA164/3,AA164)+Z164</f>
        <v>0</v>
      </c>
    </row>
    <row r="165" spans="1:28" x14ac:dyDescent="0.25">
      <c r="A165" s="11" t="s">
        <v>310</v>
      </c>
      <c r="B165" s="60" t="s">
        <v>0</v>
      </c>
      <c r="C165" s="62">
        <v>2014</v>
      </c>
      <c r="D165" s="1">
        <f>Q165+G165+F165+H165+E165</f>
        <v>172</v>
      </c>
      <c r="H165" s="120"/>
      <c r="L165" s="50">
        <f>13</f>
        <v>13</v>
      </c>
      <c r="M165" s="50">
        <f>18</f>
        <v>18</v>
      </c>
      <c r="N165" s="50">
        <f>AB165</f>
        <v>141</v>
      </c>
      <c r="O165" s="120"/>
      <c r="P165" s="96">
        <f>SUM(J165:N165)</f>
        <v>172</v>
      </c>
      <c r="Q165" s="97">
        <f>IF(C165=2016, P165/3,P165)+O165</f>
        <v>172</v>
      </c>
      <c r="R165" s="22"/>
      <c r="V165" s="50">
        <f>28+7</f>
        <v>35</v>
      </c>
      <c r="W165" s="50">
        <f>43+30</f>
        <v>73</v>
      </c>
      <c r="X165" s="50">
        <f>28+2+3</f>
        <v>33</v>
      </c>
      <c r="Z165" s="95"/>
      <c r="AA165" s="96">
        <f>SUM(S165:Y165)</f>
        <v>141</v>
      </c>
      <c r="AB165" s="97">
        <f>IF(C165=2015, AA165/3,AA165)+Z165</f>
        <v>141</v>
      </c>
    </row>
    <row r="166" spans="1:28" x14ac:dyDescent="0.25">
      <c r="A166" s="11" t="s">
        <v>544</v>
      </c>
      <c r="B166" s="60" t="s">
        <v>7</v>
      </c>
      <c r="C166" s="62">
        <v>2012</v>
      </c>
      <c r="D166" s="1">
        <f>Q166+G166+F166+H166+E166</f>
        <v>27</v>
      </c>
      <c r="F166" s="50">
        <f>0</f>
        <v>0</v>
      </c>
      <c r="H166" s="120"/>
      <c r="K166" s="50">
        <f>0+24</f>
        <v>24</v>
      </c>
      <c r="M166" s="50">
        <f>0+1</f>
        <v>1</v>
      </c>
      <c r="N166" s="50">
        <f>AB166</f>
        <v>2</v>
      </c>
      <c r="O166" s="120"/>
      <c r="P166" s="96">
        <f>SUM(J166:N166)</f>
        <v>27</v>
      </c>
      <c r="Q166" s="97">
        <f>IF(C166=2016, P166/3,P166)+O166</f>
        <v>27</v>
      </c>
      <c r="R166" s="22"/>
      <c r="X166" s="50">
        <f>2</f>
        <v>2</v>
      </c>
      <c r="Z166" s="95"/>
      <c r="AA166" s="96">
        <f>SUM(S166:Y166)</f>
        <v>2</v>
      </c>
      <c r="AB166" s="97">
        <f>IF(C166=2015, AA166/3,AA166)+Z166</f>
        <v>2</v>
      </c>
    </row>
    <row r="167" spans="1:28" x14ac:dyDescent="0.25">
      <c r="A167" s="11" t="s">
        <v>611</v>
      </c>
      <c r="B167" s="60" t="s">
        <v>482</v>
      </c>
      <c r="C167" s="62"/>
      <c r="D167" s="1">
        <f>Q167+G167+F167+H167+E167</f>
        <v>34</v>
      </c>
      <c r="H167" s="158"/>
      <c r="I167" s="22"/>
      <c r="L167" s="50">
        <f>34</f>
        <v>34</v>
      </c>
      <c r="O167" s="120"/>
      <c r="P167" s="96">
        <f>SUM(J167:N167)</f>
        <v>34</v>
      </c>
      <c r="Q167" s="97">
        <f>IF(C167=2016, P167/3,P167)+O167</f>
        <v>34</v>
      </c>
      <c r="R167" s="22"/>
      <c r="S167" s="157"/>
      <c r="T167" s="157"/>
      <c r="U167" s="157"/>
      <c r="V167" s="157"/>
      <c r="W167" s="157"/>
      <c r="X167" s="157"/>
      <c r="Y167" s="13"/>
      <c r="Z167" s="95"/>
      <c r="AA167" s="96">
        <f>SUM(S167:Y167)</f>
        <v>0</v>
      </c>
      <c r="AB167" s="97">
        <f>IF(C167=2015, AA167/3,AA167)+Z167</f>
        <v>0</v>
      </c>
    </row>
    <row r="168" spans="1:28" x14ac:dyDescent="0.25">
      <c r="A168" s="11" t="s">
        <v>621</v>
      </c>
      <c r="B168" s="60" t="s">
        <v>482</v>
      </c>
      <c r="C168" s="62"/>
      <c r="D168" s="1">
        <f>Q168+G168+F168+H168+E168</f>
        <v>7</v>
      </c>
      <c r="H168" s="158"/>
      <c r="I168" s="22"/>
      <c r="L168" s="50">
        <f>6+1</f>
        <v>7</v>
      </c>
      <c r="O168" s="120"/>
      <c r="P168" s="96">
        <f>SUM(J168:N168)</f>
        <v>7</v>
      </c>
      <c r="Q168" s="97">
        <f>IF(C168=2016, P168/3,P168)+O168</f>
        <v>7</v>
      </c>
      <c r="R168" s="22"/>
      <c r="S168" s="157"/>
      <c r="T168" s="157"/>
      <c r="U168" s="157"/>
      <c r="V168" s="157"/>
      <c r="W168" s="157"/>
      <c r="X168" s="157"/>
      <c r="Y168" s="13"/>
      <c r="Z168" s="95"/>
      <c r="AA168" s="96">
        <f>SUM(S168:Y168)</f>
        <v>0</v>
      </c>
      <c r="AB168" s="97">
        <f>IF(C168=2015, AA168/3,AA168)+Z168</f>
        <v>0</v>
      </c>
    </row>
    <row r="169" spans="1:28" x14ac:dyDescent="0.25">
      <c r="A169" s="71" t="s">
        <v>259</v>
      </c>
      <c r="B169" s="60" t="s">
        <v>63</v>
      </c>
      <c r="C169" s="72">
        <v>2013</v>
      </c>
      <c r="D169" s="1">
        <f>Q169+G169+F169+H169+E169</f>
        <v>97</v>
      </c>
      <c r="F169" s="50">
        <f>22+3+6</f>
        <v>31</v>
      </c>
      <c r="G169" s="50">
        <f>26</f>
        <v>26</v>
      </c>
      <c r="H169" s="120"/>
      <c r="J169" s="50">
        <f>0</f>
        <v>0</v>
      </c>
      <c r="M169" s="50">
        <f>18</f>
        <v>18</v>
      </c>
      <c r="N169" s="50">
        <f>AB169</f>
        <v>22</v>
      </c>
      <c r="O169" s="120"/>
      <c r="P169" s="96">
        <f>SUM(J169:N169)</f>
        <v>40</v>
      </c>
      <c r="Q169" s="97">
        <f>IF(C169=2016, P169/3,P169)+O169</f>
        <v>40</v>
      </c>
      <c r="R169" s="22"/>
      <c r="U169" s="50">
        <f>22</f>
        <v>22</v>
      </c>
      <c r="W169" s="50">
        <f>0</f>
        <v>0</v>
      </c>
      <c r="Z169" s="95"/>
      <c r="AA169" s="96">
        <f>SUM(S169:Y169)</f>
        <v>22</v>
      </c>
      <c r="AB169" s="97">
        <f>IF(C169=2015, AA169/3,AA169)+Z169</f>
        <v>22</v>
      </c>
    </row>
    <row r="170" spans="1:28" x14ac:dyDescent="0.25">
      <c r="A170" s="11" t="s">
        <v>142</v>
      </c>
      <c r="B170" s="60" t="s">
        <v>64</v>
      </c>
      <c r="C170" s="62">
        <v>2012</v>
      </c>
      <c r="D170" s="1">
        <f>Q170+G170+F170+H170+E170</f>
        <v>8</v>
      </c>
      <c r="H170" s="120"/>
      <c r="N170" s="50">
        <f>AB170</f>
        <v>8</v>
      </c>
      <c r="O170" s="120"/>
      <c r="P170" s="96">
        <f>SUM(J170:N170)</f>
        <v>8</v>
      </c>
      <c r="Q170" s="97">
        <f>IF(C170=2016, P170/3,P170)+O170</f>
        <v>8</v>
      </c>
      <c r="R170" s="22"/>
      <c r="S170" s="41"/>
      <c r="T170" s="41">
        <v>8</v>
      </c>
      <c r="U170" s="41"/>
      <c r="V170" s="41"/>
      <c r="W170" s="41"/>
      <c r="X170" s="41"/>
      <c r="Y170" s="13"/>
      <c r="Z170" s="95"/>
      <c r="AA170" s="96">
        <f>SUM(S170:Y170)</f>
        <v>8</v>
      </c>
      <c r="AB170" s="97">
        <f>IF(C170=2015, AA170/3,AA170)+Z170</f>
        <v>8</v>
      </c>
    </row>
    <row r="171" spans="1:28" x14ac:dyDescent="0.25">
      <c r="A171" s="45" t="s">
        <v>78</v>
      </c>
      <c r="B171" s="66" t="s">
        <v>63</v>
      </c>
      <c r="C171" s="46">
        <v>2015</v>
      </c>
      <c r="D171" s="1">
        <f>Q171+G171+F171+H171+E171</f>
        <v>4</v>
      </c>
      <c r="H171" s="120"/>
      <c r="N171" s="50">
        <f>AB171</f>
        <v>4</v>
      </c>
      <c r="O171" s="120"/>
      <c r="P171" s="96">
        <f>SUM(J171:N171)</f>
        <v>4</v>
      </c>
      <c r="Q171" s="97">
        <f>IF(C171=2016, P171/3,P171)+O171</f>
        <v>4</v>
      </c>
      <c r="R171" s="101"/>
      <c r="S171" s="41"/>
      <c r="T171" s="41">
        <v>12</v>
      </c>
      <c r="U171" s="41">
        <f>0</f>
        <v>0</v>
      </c>
      <c r="V171" s="41">
        <f>0</f>
        <v>0</v>
      </c>
      <c r="W171" s="41"/>
      <c r="X171" s="41"/>
      <c r="Y171" s="135"/>
      <c r="Z171" s="95"/>
      <c r="AA171" s="96">
        <f>SUM(S171:Y171)</f>
        <v>12</v>
      </c>
      <c r="AB171" s="97">
        <f>IF(C171=2015, AA171/3,AA171)+Z171</f>
        <v>4</v>
      </c>
    </row>
    <row r="172" spans="1:28" x14ac:dyDescent="0.25">
      <c r="A172" s="45" t="s">
        <v>80</v>
      </c>
      <c r="B172" s="66" t="s">
        <v>63</v>
      </c>
      <c r="C172" s="46">
        <v>2015</v>
      </c>
      <c r="D172" s="1">
        <f>Q172+G172+F172+H172+E172</f>
        <v>17</v>
      </c>
      <c r="H172" s="120"/>
      <c r="N172" s="50">
        <f>AB172</f>
        <v>17</v>
      </c>
      <c r="O172" s="120"/>
      <c r="P172" s="96">
        <f>SUM(J172:N172)</f>
        <v>17</v>
      </c>
      <c r="Q172" s="97">
        <f>IF(C172=2016, P172/3,P172)+O172</f>
        <v>17</v>
      </c>
      <c r="R172" s="101"/>
      <c r="S172" s="41"/>
      <c r="T172" s="41">
        <v>33</v>
      </c>
      <c r="U172" s="41"/>
      <c r="V172" s="41">
        <f>18</f>
        <v>18</v>
      </c>
      <c r="W172" s="41"/>
      <c r="X172" s="41"/>
      <c r="Y172" s="135"/>
      <c r="Z172" s="95"/>
      <c r="AA172" s="96">
        <f>SUM(S172:Y172)</f>
        <v>51</v>
      </c>
      <c r="AB172" s="97">
        <f>IF(C172=2015, AA172/3,AA172)+Z172</f>
        <v>17</v>
      </c>
    </row>
    <row r="173" spans="1:28" x14ac:dyDescent="0.25">
      <c r="A173" s="45" t="s">
        <v>71</v>
      </c>
      <c r="B173" s="66" t="s">
        <v>63</v>
      </c>
      <c r="C173" s="46">
        <v>2016</v>
      </c>
      <c r="D173" s="1">
        <f>Q173+G173+F173+H173+E173</f>
        <v>4</v>
      </c>
      <c r="E173" s="160"/>
      <c r="F173" s="160"/>
      <c r="G173" s="160"/>
      <c r="H173" s="122"/>
      <c r="I173" s="101"/>
      <c r="J173" s="108"/>
      <c r="K173" s="108"/>
      <c r="L173" s="108"/>
      <c r="M173" s="108"/>
      <c r="N173" s="108">
        <f>AB173</f>
        <v>12</v>
      </c>
      <c r="O173" s="122"/>
      <c r="P173" s="96">
        <f>SUM(J173:N173)</f>
        <v>12</v>
      </c>
      <c r="Q173" s="97">
        <f>IF(C173=2016, P173/3,P173)+O173</f>
        <v>4</v>
      </c>
      <c r="R173" s="101"/>
      <c r="S173" s="41"/>
      <c r="T173" s="41">
        <v>12</v>
      </c>
      <c r="U173" s="41">
        <f>0</f>
        <v>0</v>
      </c>
      <c r="V173" s="41">
        <f>0</f>
        <v>0</v>
      </c>
      <c r="W173" s="41"/>
      <c r="X173" s="41"/>
      <c r="Y173" s="69"/>
      <c r="AA173" s="96">
        <f>SUM(S173:Y173)</f>
        <v>12</v>
      </c>
      <c r="AB173" s="97">
        <f>IF(C173=2015, AA173/3,AA173)+Z173</f>
        <v>12</v>
      </c>
    </row>
    <row r="174" spans="1:28" x14ac:dyDescent="0.25">
      <c r="A174" s="11" t="s">
        <v>545</v>
      </c>
      <c r="B174" s="60" t="s">
        <v>7</v>
      </c>
      <c r="C174" s="62">
        <v>2012</v>
      </c>
      <c r="D174" s="1">
        <f>Q174+G174+F174+H174+E174</f>
        <v>121</v>
      </c>
      <c r="E174" s="177">
        <f>16</f>
        <v>16</v>
      </c>
      <c r="F174" s="50">
        <f>50</f>
        <v>50</v>
      </c>
      <c r="H174" s="120"/>
      <c r="I174" s="182"/>
      <c r="K174" s="50">
        <f>17</f>
        <v>17</v>
      </c>
      <c r="L174" s="50">
        <f>25</f>
        <v>25</v>
      </c>
      <c r="M174" s="50">
        <f>13</f>
        <v>13</v>
      </c>
      <c r="N174" s="50">
        <f>AB174</f>
        <v>0</v>
      </c>
      <c r="O174" s="120"/>
      <c r="P174" s="96">
        <f>SUM(J174:N174)</f>
        <v>55</v>
      </c>
      <c r="Q174" s="97">
        <f>IF(C174=2016, P174/3,P174)+O174</f>
        <v>55</v>
      </c>
      <c r="R174" s="22"/>
      <c r="S174" s="41"/>
      <c r="T174" s="41"/>
      <c r="U174" s="41"/>
      <c r="V174" s="41"/>
      <c r="W174" s="41"/>
      <c r="X174" s="41">
        <f>0</f>
        <v>0</v>
      </c>
      <c r="Y174" s="13"/>
      <c r="Z174" s="95"/>
      <c r="AA174" s="96">
        <f>SUM(S174:Y174)</f>
        <v>0</v>
      </c>
      <c r="AB174" s="97">
        <f>IF(C174=2015, AA174/3,AA174)+Z174</f>
        <v>0</v>
      </c>
    </row>
    <row r="175" spans="1:28" x14ac:dyDescent="0.25">
      <c r="A175" s="11" t="s">
        <v>619</v>
      </c>
      <c r="B175" s="60" t="s">
        <v>233</v>
      </c>
      <c r="C175" s="62"/>
      <c r="D175" s="1">
        <f>Q175+G175+F175+H175+E175</f>
        <v>13</v>
      </c>
      <c r="H175" s="158"/>
      <c r="I175" s="22"/>
      <c r="L175" s="50">
        <f>13</f>
        <v>13</v>
      </c>
      <c r="O175" s="120"/>
      <c r="P175" s="96">
        <f>SUM(J175:N175)</f>
        <v>13</v>
      </c>
      <c r="Q175" s="97">
        <f>IF(C175=2016, P175/3,P175)+O175</f>
        <v>13</v>
      </c>
      <c r="R175" s="22"/>
      <c r="S175" s="157"/>
      <c r="T175" s="157"/>
      <c r="U175" s="157"/>
      <c r="V175" s="157"/>
      <c r="W175" s="157"/>
      <c r="X175" s="157"/>
      <c r="Y175" s="13"/>
      <c r="Z175" s="95"/>
      <c r="AA175" s="96">
        <f>SUM(S175:Y175)</f>
        <v>0</v>
      </c>
      <c r="AB175" s="97">
        <f>IF(C175=2015, AA175/3,AA175)+Z175</f>
        <v>0</v>
      </c>
    </row>
    <row r="176" spans="1:28" x14ac:dyDescent="0.25">
      <c r="A176" s="11" t="s">
        <v>568</v>
      </c>
      <c r="B176" s="60" t="s">
        <v>7</v>
      </c>
      <c r="C176" s="62">
        <v>2015</v>
      </c>
      <c r="D176" s="1">
        <f>Q176+G176+F176+H176+E176</f>
        <v>85</v>
      </c>
      <c r="F176" s="50">
        <f>50</f>
        <v>50</v>
      </c>
      <c r="H176" s="158"/>
      <c r="I176" s="22"/>
      <c r="K176" s="50">
        <f>22</f>
        <v>22</v>
      </c>
      <c r="L176" s="50">
        <f>13</f>
        <v>13</v>
      </c>
      <c r="M176" s="50">
        <f>0</f>
        <v>0</v>
      </c>
      <c r="O176" s="120"/>
      <c r="P176" s="96">
        <f>SUM(J176:N176)</f>
        <v>35</v>
      </c>
      <c r="Q176" s="97">
        <f>IF(C176=2016, P176/3,P176)+O176</f>
        <v>35</v>
      </c>
      <c r="R176" s="22"/>
      <c r="S176" s="157"/>
      <c r="T176" s="157"/>
      <c r="U176" s="157"/>
      <c r="V176" s="157"/>
      <c r="W176" s="157"/>
      <c r="X176" s="157"/>
      <c r="Y176" s="13"/>
      <c r="Z176" s="95"/>
      <c r="AA176" s="96">
        <f>SUM(S176:Y176)</f>
        <v>0</v>
      </c>
      <c r="AB176" s="97">
        <f>IF(C176=2015, AA176/3,AA176)+Z176</f>
        <v>0</v>
      </c>
    </row>
    <row r="177" spans="1:28" x14ac:dyDescent="0.25">
      <c r="A177" s="11" t="s">
        <v>700</v>
      </c>
      <c r="B177" s="60" t="s">
        <v>554</v>
      </c>
      <c r="C177" s="62">
        <v>2012</v>
      </c>
      <c r="D177" s="1">
        <f>Q177+G177+F177+H177+E177</f>
        <v>69</v>
      </c>
      <c r="F177" s="50">
        <f>36+4+6</f>
        <v>46</v>
      </c>
      <c r="G177" s="50">
        <f>23</f>
        <v>23</v>
      </c>
      <c r="H177" s="158"/>
      <c r="I177" s="22"/>
      <c r="K177" s="50">
        <f>0</f>
        <v>0</v>
      </c>
      <c r="O177" s="120"/>
      <c r="P177" s="96">
        <f>SUM(J177:N177)</f>
        <v>0</v>
      </c>
      <c r="Q177" s="97">
        <f>IF(C177=2016, P177/3,P177)+O177</f>
        <v>0</v>
      </c>
      <c r="R177" s="22"/>
      <c r="S177" s="157"/>
      <c r="T177" s="157"/>
      <c r="U177" s="157"/>
      <c r="V177" s="157"/>
      <c r="W177" s="157"/>
      <c r="X177" s="157"/>
      <c r="Y177" s="13"/>
      <c r="Z177" s="95"/>
      <c r="AA177" s="96">
        <f>SUM(S177:Y177)</f>
        <v>0</v>
      </c>
      <c r="AB177" s="97">
        <f>IF(C177=2015, AA177/3,AA177)+Z177</f>
        <v>0</v>
      </c>
    </row>
    <row r="178" spans="1:28" x14ac:dyDescent="0.25">
      <c r="A178" s="11" t="s">
        <v>126</v>
      </c>
      <c r="B178" s="60" t="s">
        <v>87</v>
      </c>
      <c r="C178" s="62">
        <v>2014</v>
      </c>
      <c r="D178" s="1">
        <f>Q178+G178+F178+H178+E178</f>
        <v>23</v>
      </c>
      <c r="H178" s="120"/>
      <c r="I178" s="182"/>
      <c r="N178" s="50">
        <f>AB178</f>
        <v>23</v>
      </c>
      <c r="O178" s="120"/>
      <c r="P178" s="96">
        <f>SUM(J178:N178)</f>
        <v>23</v>
      </c>
      <c r="Q178" s="97">
        <f>IF(C178=2016, P178/3,P178)+O178</f>
        <v>23</v>
      </c>
      <c r="R178" s="22"/>
      <c r="S178" s="41"/>
      <c r="T178" s="41">
        <f>20+3</f>
        <v>23</v>
      </c>
      <c r="U178" s="41"/>
      <c r="V178" s="41"/>
      <c r="W178" s="41"/>
      <c r="X178" s="41"/>
      <c r="Y178" s="13"/>
      <c r="Z178" s="95"/>
      <c r="AA178" s="96">
        <f>SUM(S178:Y178)</f>
        <v>23</v>
      </c>
      <c r="AB178" s="97">
        <f>IF(C178=2015, AA178/3,AA178)+Z178</f>
        <v>23</v>
      </c>
    </row>
    <row r="179" spans="1:28" x14ac:dyDescent="0.25">
      <c r="A179" s="11" t="s">
        <v>627</v>
      </c>
      <c r="B179" s="60" t="s">
        <v>605</v>
      </c>
      <c r="C179" s="62"/>
      <c r="D179" s="1">
        <f>Q179+G179+F179+H179+E179</f>
        <v>48</v>
      </c>
      <c r="H179" s="158"/>
      <c r="I179" s="22"/>
      <c r="L179" s="50">
        <f>48</f>
        <v>48</v>
      </c>
      <c r="O179" s="120"/>
      <c r="P179" s="96">
        <f>SUM(J179:N179)</f>
        <v>48</v>
      </c>
      <c r="Q179" s="97">
        <f>IF(C179=2016, P179/3,P179)+O179</f>
        <v>48</v>
      </c>
      <c r="R179" s="22"/>
      <c r="S179" s="157"/>
      <c r="T179" s="157"/>
      <c r="U179" s="157"/>
      <c r="V179" s="157"/>
      <c r="W179" s="157"/>
      <c r="X179" s="157"/>
      <c r="Y179" s="13"/>
      <c r="Z179" s="95"/>
      <c r="AA179" s="96">
        <f>SUM(S179:Y179)</f>
        <v>0</v>
      </c>
      <c r="AB179" s="97">
        <f>IF(C179=2015, AA179/3,AA179)+Z179</f>
        <v>0</v>
      </c>
    </row>
    <row r="180" spans="1:28" x14ac:dyDescent="0.25">
      <c r="A180" s="45" t="s">
        <v>468</v>
      </c>
      <c r="B180" s="66" t="s">
        <v>0</v>
      </c>
      <c r="C180" s="46">
        <v>2015</v>
      </c>
      <c r="D180" s="1">
        <f>Q180+G180+F180+H180+E180</f>
        <v>2.3333333333333335</v>
      </c>
      <c r="H180" s="120"/>
      <c r="N180" s="50">
        <f>AB180</f>
        <v>2.3333333333333335</v>
      </c>
      <c r="O180" s="120"/>
      <c r="P180" s="96">
        <f>SUM(J180:N180)</f>
        <v>2.3333333333333335</v>
      </c>
      <c r="Q180" s="97">
        <f>IF(C180=2016, P180/3,P180)+O180</f>
        <v>2.3333333333333335</v>
      </c>
      <c r="R180" s="101"/>
      <c r="S180" s="41"/>
      <c r="T180" s="41"/>
      <c r="U180" s="41"/>
      <c r="V180" s="41"/>
      <c r="W180" s="41"/>
      <c r="X180" s="41">
        <f>7</f>
        <v>7</v>
      </c>
      <c r="Y180" s="13"/>
      <c r="Z180" s="95"/>
      <c r="AA180" s="96">
        <f>SUM(S180:Y180)</f>
        <v>7</v>
      </c>
      <c r="AB180" s="97">
        <f>IF(C180=2015, AA180/3,AA180)+Z180</f>
        <v>2.3333333333333335</v>
      </c>
    </row>
    <row r="181" spans="1:28" x14ac:dyDescent="0.25">
      <c r="A181" s="45" t="s">
        <v>623</v>
      </c>
      <c r="B181" s="66" t="s">
        <v>233</v>
      </c>
      <c r="C181" s="46"/>
      <c r="D181" s="1">
        <f>Q181+G181+F181+H181+E181</f>
        <v>2</v>
      </c>
      <c r="E181" s="160"/>
      <c r="F181" s="160"/>
      <c r="G181" s="160"/>
      <c r="H181" s="158"/>
      <c r="I181" s="101"/>
      <c r="L181" s="50">
        <f>2</f>
        <v>2</v>
      </c>
      <c r="O181" s="120"/>
      <c r="P181" s="96">
        <f>SUM(J181:N181)</f>
        <v>2</v>
      </c>
      <c r="Q181" s="97">
        <f>IF(C181=2016, P181/3,P181)+O181</f>
        <v>2</v>
      </c>
      <c r="R181" s="101"/>
      <c r="S181" s="157"/>
      <c r="T181" s="157"/>
      <c r="U181" s="157"/>
      <c r="V181" s="157"/>
      <c r="W181" s="157"/>
      <c r="X181" s="157"/>
      <c r="Y181" s="13"/>
      <c r="Z181" s="95"/>
      <c r="AA181" s="96">
        <f>SUM(S181:Y181)</f>
        <v>0</v>
      </c>
      <c r="AB181" s="97">
        <f>IF(C181=2015, AA181/3,AA181)+Z181</f>
        <v>0</v>
      </c>
    </row>
    <row r="182" spans="1:28" x14ac:dyDescent="0.25">
      <c r="A182" s="71" t="s">
        <v>691</v>
      </c>
      <c r="B182" s="71" t="s">
        <v>0</v>
      </c>
      <c r="C182" s="72">
        <v>2013</v>
      </c>
      <c r="D182" s="1">
        <f>Q182+G182+F182+H182+E182</f>
        <v>184</v>
      </c>
      <c r="E182" s="177">
        <f>49+18+1</f>
        <v>68</v>
      </c>
      <c r="F182" s="50">
        <f>31+9+3</f>
        <v>43</v>
      </c>
      <c r="G182" s="50">
        <f>15+4</f>
        <v>19</v>
      </c>
      <c r="H182" s="158"/>
      <c r="I182" s="22"/>
      <c r="J182" s="50">
        <f>22</f>
        <v>22</v>
      </c>
      <c r="K182" s="50">
        <f>32</f>
        <v>32</v>
      </c>
      <c r="O182" s="120"/>
      <c r="P182" s="96">
        <f>SUM(J182:N182)</f>
        <v>54</v>
      </c>
      <c r="Q182" s="97">
        <f>IF(C182=2016, P182/3,P182)+O182</f>
        <v>54</v>
      </c>
      <c r="R182" s="22"/>
      <c r="Z182" s="95"/>
      <c r="AA182" s="96">
        <f>SUM(S182:Y182)</f>
        <v>0</v>
      </c>
      <c r="AB182" s="97">
        <f>IF(C182=2015, AA182/3,AA182)+Z182</f>
        <v>0</v>
      </c>
    </row>
    <row r="183" spans="1:28" x14ac:dyDescent="0.25">
      <c r="A183" s="71" t="s">
        <v>344</v>
      </c>
      <c r="B183" s="71" t="s">
        <v>233</v>
      </c>
      <c r="C183" s="72"/>
      <c r="D183" s="1">
        <f>Q183+G183+F183+H183+E183</f>
        <v>0</v>
      </c>
      <c r="H183" s="120"/>
      <c r="N183" s="50">
        <f>AB183</f>
        <v>0</v>
      </c>
      <c r="O183" s="120"/>
      <c r="P183" s="96">
        <f>SUM(J183:N183)</f>
        <v>0</v>
      </c>
      <c r="Q183" s="97">
        <f>IF(C183=2016, P183/3,P183)+O183</f>
        <v>0</v>
      </c>
      <c r="R183" s="22"/>
      <c r="V183" s="50">
        <f>0</f>
        <v>0</v>
      </c>
      <c r="Z183" s="95"/>
      <c r="AA183" s="96">
        <f>SUM(S183:Y183)</f>
        <v>0</v>
      </c>
      <c r="AB183" s="97">
        <f>IF(C183=2015, AA183/3,AA183)+Z183</f>
        <v>0</v>
      </c>
    </row>
    <row r="184" spans="1:28" x14ac:dyDescent="0.25">
      <c r="A184" s="71" t="s">
        <v>260</v>
      </c>
      <c r="B184" s="60" t="s">
        <v>64</v>
      </c>
      <c r="C184" s="72">
        <v>2014</v>
      </c>
      <c r="D184" s="1">
        <f>Q184+G184+F184+H184+E184</f>
        <v>6</v>
      </c>
      <c r="H184" s="120"/>
      <c r="N184" s="50">
        <f>AB184</f>
        <v>6</v>
      </c>
      <c r="O184" s="120"/>
      <c r="P184" s="96">
        <f>SUM(J184:N184)</f>
        <v>6</v>
      </c>
      <c r="Q184" s="97">
        <f>IF(C184=2016, P184/3,P184)+O184</f>
        <v>6</v>
      </c>
      <c r="R184" s="22"/>
      <c r="U184" s="50">
        <f>6</f>
        <v>6</v>
      </c>
      <c r="Z184" s="95"/>
      <c r="AA184" s="96">
        <f>SUM(S184:Y184)</f>
        <v>6</v>
      </c>
      <c r="AB184" s="97">
        <f>IF(C184=2015, AA184/3,AA184)+Z184</f>
        <v>6</v>
      </c>
    </row>
    <row r="185" spans="1:28" x14ac:dyDescent="0.25">
      <c r="A185" s="71" t="s">
        <v>302</v>
      </c>
      <c r="B185" s="66" t="s">
        <v>63</v>
      </c>
      <c r="C185" s="72">
        <v>2016</v>
      </c>
      <c r="D185" s="1">
        <f>Q185+G185+F185+H185+E185</f>
        <v>6</v>
      </c>
      <c r="E185" s="160"/>
      <c r="F185" s="160"/>
      <c r="G185" s="160"/>
      <c r="H185" s="122"/>
      <c r="I185" s="101"/>
      <c r="J185" s="108"/>
      <c r="K185" s="108"/>
      <c r="L185" s="108"/>
      <c r="M185" s="108"/>
      <c r="N185" s="108">
        <f>AB185</f>
        <v>18</v>
      </c>
      <c r="O185" s="122"/>
      <c r="P185" s="96">
        <f>SUM(J185:N185)</f>
        <v>18</v>
      </c>
      <c r="Q185" s="97">
        <f>IF(C185=2016, P185/3,P185)+O185</f>
        <v>6</v>
      </c>
      <c r="R185" s="101"/>
      <c r="S185" s="41"/>
      <c r="T185" s="41"/>
      <c r="U185" s="41"/>
      <c r="V185" s="41">
        <f>18</f>
        <v>18</v>
      </c>
      <c r="W185" s="41"/>
      <c r="X185" s="41"/>
      <c r="Y185" s="13"/>
      <c r="AA185" s="96">
        <f>SUM(S185:Y185)</f>
        <v>18</v>
      </c>
      <c r="AB185" s="97">
        <f>IF(C185=2015, AA185/3,AA185)+Z185</f>
        <v>18</v>
      </c>
    </row>
    <row r="186" spans="1:28" x14ac:dyDescent="0.25">
      <c r="A186" s="71" t="s">
        <v>702</v>
      </c>
      <c r="B186" s="71" t="s">
        <v>64</v>
      </c>
      <c r="C186" s="72">
        <v>2014</v>
      </c>
      <c r="D186" s="1">
        <f>Q186+G186+F186+H186+E186</f>
        <v>6</v>
      </c>
      <c r="E186" s="177">
        <f>0+6</f>
        <v>6</v>
      </c>
      <c r="F186" s="50">
        <f>0</f>
        <v>0</v>
      </c>
      <c r="H186" s="158"/>
      <c r="I186" s="22"/>
      <c r="K186" s="50">
        <f>0</f>
        <v>0</v>
      </c>
      <c r="O186" s="120"/>
      <c r="P186" s="96">
        <f>SUM(J186:N186)</f>
        <v>0</v>
      </c>
      <c r="Q186" s="97">
        <f>IF(C186=2016, P186/3,P186)+O186</f>
        <v>0</v>
      </c>
      <c r="R186" s="22"/>
      <c r="Z186" s="95"/>
      <c r="AA186" s="96">
        <f>SUM(S186:Y186)</f>
        <v>0</v>
      </c>
      <c r="AB186" s="97">
        <f>IF(C186=2015, AA186/3,AA186)+Z186</f>
        <v>0</v>
      </c>
    </row>
    <row r="187" spans="1:28" x14ac:dyDescent="0.25">
      <c r="A187" s="11" t="s">
        <v>564</v>
      </c>
      <c r="B187" s="60" t="s">
        <v>554</v>
      </c>
      <c r="C187" s="62">
        <v>2012</v>
      </c>
      <c r="D187" s="1">
        <f>Q187+G187+F187+H187+E187</f>
        <v>33</v>
      </c>
      <c r="F187" s="50">
        <f>4+6</f>
        <v>10</v>
      </c>
      <c r="H187" s="158"/>
      <c r="I187" s="22"/>
      <c r="K187" s="50">
        <f>20</f>
        <v>20</v>
      </c>
      <c r="M187" s="50">
        <f>0+3</f>
        <v>3</v>
      </c>
      <c r="O187" s="120"/>
      <c r="P187" s="96">
        <f>SUM(J187:N187)</f>
        <v>23</v>
      </c>
      <c r="Q187" s="97">
        <f>IF(C187=2016, P187/3,P187)+O187</f>
        <v>23</v>
      </c>
      <c r="R187" s="22"/>
      <c r="Z187" s="95"/>
      <c r="AA187" s="96">
        <f>SUM(S187:Y187)</f>
        <v>0</v>
      </c>
      <c r="AB187" s="97">
        <f>IF(C187=2015, AA187/3,AA187)+Z187</f>
        <v>0</v>
      </c>
    </row>
    <row r="188" spans="1:28" x14ac:dyDescent="0.25">
      <c r="A188" s="11" t="s">
        <v>556</v>
      </c>
      <c r="B188" s="60" t="s">
        <v>233</v>
      </c>
      <c r="C188" s="62">
        <v>2015</v>
      </c>
      <c r="D188" s="1">
        <f>Q188+G188+F188+H188+E188</f>
        <v>90</v>
      </c>
      <c r="H188" s="158"/>
      <c r="I188" s="22"/>
      <c r="L188" s="50">
        <f>43</f>
        <v>43</v>
      </c>
      <c r="M188" s="50">
        <f>32</f>
        <v>32</v>
      </c>
      <c r="N188" s="50">
        <f>15</f>
        <v>15</v>
      </c>
      <c r="O188" s="120"/>
      <c r="P188" s="96">
        <f>SUM(J188:N188)</f>
        <v>90</v>
      </c>
      <c r="Q188" s="97">
        <f>IF(C188=2016, P188/3,P188)+O188</f>
        <v>90</v>
      </c>
      <c r="R188" s="22"/>
      <c r="Z188" s="95"/>
      <c r="AA188" s="96">
        <f>SUM(S188:Y188)</f>
        <v>0</v>
      </c>
      <c r="AB188" s="97">
        <f>IF(C188=2015, AA188/3,AA188)+Z188</f>
        <v>0</v>
      </c>
    </row>
    <row r="189" spans="1:28" x14ac:dyDescent="0.25">
      <c r="A189" s="11" t="s">
        <v>419</v>
      </c>
      <c r="B189" s="60" t="s">
        <v>63</v>
      </c>
      <c r="C189" s="62">
        <v>2014</v>
      </c>
      <c r="D189" s="1">
        <f>Q189+G189+F189+H189+E189</f>
        <v>0</v>
      </c>
      <c r="H189" s="120"/>
      <c r="N189" s="50">
        <f>AB189</f>
        <v>0</v>
      </c>
      <c r="O189" s="120"/>
      <c r="P189" s="96">
        <f>SUM(J189:N189)</f>
        <v>0</v>
      </c>
      <c r="Q189" s="97">
        <f>IF(C189=2016, P189/3,P189)+O189</f>
        <v>0</v>
      </c>
      <c r="R189" s="22"/>
      <c r="W189" s="50">
        <f>0</f>
        <v>0</v>
      </c>
      <c r="Z189" s="95"/>
      <c r="AA189" s="96">
        <f>SUM(S189:Y189)</f>
        <v>0</v>
      </c>
      <c r="AB189" s="97">
        <f>IF(C189=2015, AA189/3,AA189)+Z189</f>
        <v>0</v>
      </c>
    </row>
    <row r="190" spans="1:28" x14ac:dyDescent="0.25">
      <c r="A190" s="71" t="s">
        <v>427</v>
      </c>
      <c r="B190" s="11" t="s">
        <v>0</v>
      </c>
      <c r="C190" s="3">
        <v>2016</v>
      </c>
      <c r="D190" s="1">
        <f>Q190+G190+F190+H190+E190</f>
        <v>92</v>
      </c>
      <c r="E190" s="160">
        <f>28+6</f>
        <v>34</v>
      </c>
      <c r="F190" s="160"/>
      <c r="G190" s="160">
        <f>28+8</f>
        <v>36</v>
      </c>
      <c r="H190" s="122"/>
      <c r="I190" s="101"/>
      <c r="J190" s="108">
        <f>12</f>
        <v>12</v>
      </c>
      <c r="K190" s="108">
        <f>0</f>
        <v>0</v>
      </c>
      <c r="L190" s="108">
        <f>24</f>
        <v>24</v>
      </c>
      <c r="M190" s="108">
        <f>9</f>
        <v>9</v>
      </c>
      <c r="N190" s="108">
        <f>AB190</f>
        <v>21</v>
      </c>
      <c r="O190" s="122"/>
      <c r="P190" s="96">
        <f>SUM(J190:N190)</f>
        <v>66</v>
      </c>
      <c r="Q190" s="97">
        <f>IF(C190=2016, P190/3,P190)+O190</f>
        <v>22</v>
      </c>
      <c r="R190" s="101"/>
      <c r="S190" s="41"/>
      <c r="T190" s="41"/>
      <c r="U190" s="41"/>
      <c r="V190" s="41"/>
      <c r="W190" s="41">
        <f>12</f>
        <v>12</v>
      </c>
      <c r="X190" s="41">
        <f>9</f>
        <v>9</v>
      </c>
      <c r="Y190" s="13"/>
      <c r="AA190" s="96">
        <f>SUM(S190:Y190)</f>
        <v>21</v>
      </c>
      <c r="AB190" s="97">
        <f>IF(C190=2015, AA190/3,AA190)+Z190</f>
        <v>21</v>
      </c>
    </row>
    <row r="191" spans="1:28" x14ac:dyDescent="0.25">
      <c r="A191" s="11" t="s">
        <v>622</v>
      </c>
      <c r="B191" s="60" t="s">
        <v>298</v>
      </c>
      <c r="C191" s="62"/>
      <c r="D191" s="1">
        <f>Q191+G191+F191+H191+E191</f>
        <v>6</v>
      </c>
      <c r="H191" s="158"/>
      <c r="I191" s="22"/>
      <c r="L191" s="50">
        <f>6</f>
        <v>6</v>
      </c>
      <c r="O191" s="120"/>
      <c r="P191" s="96">
        <f>SUM(J191:N191)</f>
        <v>6</v>
      </c>
      <c r="Q191" s="97">
        <f>IF(C191=2016, P191/3,P191)+O191</f>
        <v>6</v>
      </c>
      <c r="R191" s="22"/>
      <c r="Z191" s="95"/>
      <c r="AA191" s="96">
        <f>SUM(S191:Y191)</f>
        <v>0</v>
      </c>
      <c r="AB191" s="97">
        <f>IF(C191=2015, AA191/3,AA191)+Z191</f>
        <v>0</v>
      </c>
    </row>
    <row r="192" spans="1:28" x14ac:dyDescent="0.25">
      <c r="A192" s="71" t="s">
        <v>434</v>
      </c>
      <c r="B192" s="11" t="s">
        <v>409</v>
      </c>
      <c r="C192" s="3">
        <v>2016</v>
      </c>
      <c r="D192" s="1">
        <f>Q192+G192+F192+H192+E192</f>
        <v>0</v>
      </c>
      <c r="E192" s="160"/>
      <c r="F192" s="160"/>
      <c r="G192" s="160"/>
      <c r="H192" s="122"/>
      <c r="I192" s="101"/>
      <c r="J192" s="108"/>
      <c r="K192" s="108"/>
      <c r="L192" s="108"/>
      <c r="M192" s="108"/>
      <c r="N192" s="108">
        <f>AB192</f>
        <v>0</v>
      </c>
      <c r="O192" s="122"/>
      <c r="P192" s="96">
        <f>SUM(J192:N192)</f>
        <v>0</v>
      </c>
      <c r="Q192" s="97">
        <f>IF(C192=2016, P192/3,P192)+O192</f>
        <v>0</v>
      </c>
      <c r="R192" s="101"/>
      <c r="S192" s="41"/>
      <c r="T192" s="41"/>
      <c r="U192" s="41"/>
      <c r="V192" s="41"/>
      <c r="W192" s="41">
        <v>0</v>
      </c>
      <c r="X192" s="41"/>
      <c r="Y192" s="13"/>
      <c r="AA192" s="96">
        <f>SUM(S192:Y192)</f>
        <v>0</v>
      </c>
      <c r="AB192" s="97">
        <f>IF(C192=2015, AA192/3,AA192)+Z192</f>
        <v>0</v>
      </c>
    </row>
    <row r="193" spans="1:28" x14ac:dyDescent="0.25">
      <c r="A193" s="11" t="s">
        <v>135</v>
      </c>
      <c r="B193" s="60" t="s">
        <v>64</v>
      </c>
      <c r="C193" s="62">
        <v>2013</v>
      </c>
      <c r="D193" s="1">
        <f>Q193+G193+F193+H193+E193</f>
        <v>93</v>
      </c>
      <c r="E193" s="177">
        <f>0+9+6</f>
        <v>15</v>
      </c>
      <c r="F193" s="50">
        <f>0+18</f>
        <v>18</v>
      </c>
      <c r="G193" s="50">
        <f>6</f>
        <v>6</v>
      </c>
      <c r="H193" s="120"/>
      <c r="L193" s="50">
        <f>2</f>
        <v>2</v>
      </c>
      <c r="M193" s="50">
        <f>18+6</f>
        <v>24</v>
      </c>
      <c r="N193" s="50">
        <f>AB193</f>
        <v>28</v>
      </c>
      <c r="O193" s="120"/>
      <c r="P193" s="96">
        <f>SUM(J193:N193)</f>
        <v>54</v>
      </c>
      <c r="Q193" s="97">
        <f>IF(C193=2016, P193/3,P193)+O193</f>
        <v>54</v>
      </c>
      <c r="R193" s="22"/>
      <c r="S193" s="41"/>
      <c r="T193" s="41">
        <v>8</v>
      </c>
      <c r="U193" s="41">
        <f>20</f>
        <v>20</v>
      </c>
      <c r="V193" s="41"/>
      <c r="W193" s="41"/>
      <c r="X193" s="41"/>
      <c r="Y193" s="13"/>
      <c r="Z193" s="95"/>
      <c r="AA193" s="96">
        <f>SUM(S193:Y193)</f>
        <v>28</v>
      </c>
      <c r="AB193" s="97">
        <f>IF(C193=2015, AA193/3,AA193)+Z193</f>
        <v>28</v>
      </c>
    </row>
    <row r="194" spans="1:28" x14ac:dyDescent="0.25">
      <c r="A194" s="45" t="s">
        <v>437</v>
      </c>
      <c r="B194" s="66" t="s">
        <v>7</v>
      </c>
      <c r="C194" s="46">
        <v>2016</v>
      </c>
      <c r="D194" s="1">
        <f>Q194+G194+F194+H194+E194</f>
        <v>0</v>
      </c>
      <c r="E194" s="160"/>
      <c r="F194" s="160"/>
      <c r="G194" s="160"/>
      <c r="H194" s="122"/>
      <c r="I194" s="101"/>
      <c r="J194" s="108"/>
      <c r="K194" s="108"/>
      <c r="L194" s="108"/>
      <c r="M194" s="108"/>
      <c r="N194" s="108">
        <f>AB194</f>
        <v>0</v>
      </c>
      <c r="O194" s="122"/>
      <c r="P194" s="96">
        <f>SUM(J194:N194)</f>
        <v>0</v>
      </c>
      <c r="Q194" s="97">
        <f>IF(C194=2016, P194/3,P194)+O194</f>
        <v>0</v>
      </c>
      <c r="R194" s="101"/>
      <c r="S194" s="41"/>
      <c r="T194" s="41"/>
      <c r="U194" s="41"/>
      <c r="V194" s="41"/>
      <c r="W194" s="41">
        <f>0</f>
        <v>0</v>
      </c>
      <c r="X194" s="41"/>
      <c r="Y194" s="13"/>
      <c r="AA194" s="96">
        <f>SUM(S194:Y194)</f>
        <v>0</v>
      </c>
      <c r="AB194" s="97">
        <f>IF(C194=2015, AA194/3,AA194)+Z194</f>
        <v>0</v>
      </c>
    </row>
    <row r="195" spans="1:28" x14ac:dyDescent="0.25">
      <c r="A195" s="71" t="s">
        <v>249</v>
      </c>
      <c r="B195" s="71" t="s">
        <v>233</v>
      </c>
      <c r="C195" s="72">
        <v>2012</v>
      </c>
      <c r="D195" s="1">
        <f>Q195+G195+F195+H195+E195</f>
        <v>31</v>
      </c>
      <c r="H195" s="120"/>
      <c r="L195" s="50">
        <f>13</f>
        <v>13</v>
      </c>
      <c r="N195" s="50">
        <f>AB195</f>
        <v>18</v>
      </c>
      <c r="O195" s="120"/>
      <c r="P195" s="96">
        <f>SUM(J195:N195)</f>
        <v>31</v>
      </c>
      <c r="Q195" s="97">
        <f>IF(C195=2016, P195/3,P195)+O195</f>
        <v>31</v>
      </c>
      <c r="R195" s="22"/>
      <c r="U195" s="50">
        <f>18</f>
        <v>18</v>
      </c>
      <c r="V195" s="50">
        <f>0</f>
        <v>0</v>
      </c>
      <c r="Z195" s="95"/>
      <c r="AA195" s="96">
        <f>SUM(S195:Y195)</f>
        <v>18</v>
      </c>
      <c r="AB195" s="97">
        <f>IF(C195=2015, AA195/3,AA195)+Z195</f>
        <v>18</v>
      </c>
    </row>
    <row r="196" spans="1:28" x14ac:dyDescent="0.25">
      <c r="A196" s="45" t="s">
        <v>72</v>
      </c>
      <c r="B196" s="66" t="s">
        <v>64</v>
      </c>
      <c r="C196" s="46">
        <v>2015</v>
      </c>
      <c r="D196" s="1">
        <f>Q196+G196+F196+H196+E196</f>
        <v>0</v>
      </c>
      <c r="H196" s="120"/>
      <c r="N196" s="50">
        <f>AB196</f>
        <v>0</v>
      </c>
      <c r="O196" s="120"/>
      <c r="P196" s="96">
        <f>SUM(J196:N196)</f>
        <v>0</v>
      </c>
      <c r="Q196" s="97">
        <f>IF(C196=2016, P196/3,P196)+O196</f>
        <v>0</v>
      </c>
      <c r="R196" s="101"/>
      <c r="S196" s="41"/>
      <c r="T196" s="41">
        <v>0</v>
      </c>
      <c r="U196" s="41"/>
      <c r="V196" s="41"/>
      <c r="W196" s="41"/>
      <c r="X196" s="41"/>
      <c r="Y196" s="13"/>
      <c r="Z196" s="95"/>
      <c r="AA196" s="96">
        <f>SUM(S196:Y196)</f>
        <v>0</v>
      </c>
      <c r="AB196" s="97">
        <f>IF(C196=2015, AA196/3,AA196)+Z196</f>
        <v>0</v>
      </c>
    </row>
    <row r="197" spans="1:28" x14ac:dyDescent="0.25">
      <c r="A197" s="11" t="s">
        <v>131</v>
      </c>
      <c r="B197" s="60" t="s">
        <v>63</v>
      </c>
      <c r="C197" s="62">
        <v>2014</v>
      </c>
      <c r="D197" s="1">
        <f>Q197+G197+F197+H197+E197</f>
        <v>86</v>
      </c>
      <c r="E197" s="182"/>
      <c r="F197" s="182"/>
      <c r="G197" s="182"/>
      <c r="H197" s="120"/>
      <c r="I197" s="182"/>
      <c r="J197" s="182"/>
      <c r="K197" s="182"/>
      <c r="L197" s="182"/>
      <c r="M197" s="182"/>
      <c r="N197" s="182">
        <f>AB197</f>
        <v>86</v>
      </c>
      <c r="O197" s="120"/>
      <c r="P197" s="96">
        <f>SUM(J197:N197)</f>
        <v>86</v>
      </c>
      <c r="Q197" s="97">
        <f>IF(C197=2016, P197/3,P197)+O197</f>
        <v>86</v>
      </c>
      <c r="R197" s="22"/>
      <c r="S197" s="41"/>
      <c r="T197" s="41">
        <v>8</v>
      </c>
      <c r="U197" s="41">
        <f>16</f>
        <v>16</v>
      </c>
      <c r="V197" s="41">
        <f>18</f>
        <v>18</v>
      </c>
      <c r="W197" s="41">
        <f>21</f>
        <v>21</v>
      </c>
      <c r="X197" s="41">
        <f>23</f>
        <v>23</v>
      </c>
      <c r="Y197" s="13"/>
      <c r="Z197" s="95"/>
      <c r="AA197" s="96">
        <f>SUM(S197:Y197)</f>
        <v>86</v>
      </c>
      <c r="AB197" s="97">
        <f>IF(C197=2015, AA197/3,AA197)+Z197</f>
        <v>86</v>
      </c>
    </row>
    <row r="198" spans="1:28" x14ac:dyDescent="0.25">
      <c r="A198" s="45" t="s">
        <v>450</v>
      </c>
      <c r="B198" s="66" t="s">
        <v>409</v>
      </c>
      <c r="C198" s="46">
        <v>2016</v>
      </c>
      <c r="D198" s="1">
        <f>Q198+G198+F198+H198+E198</f>
        <v>2.3333333333333335</v>
      </c>
      <c r="E198" s="160"/>
      <c r="F198" s="160"/>
      <c r="G198" s="160"/>
      <c r="H198" s="122"/>
      <c r="I198" s="101"/>
      <c r="J198" s="108"/>
      <c r="K198" s="108"/>
      <c r="L198" s="108"/>
      <c r="M198" s="108"/>
      <c r="N198" s="108">
        <f>AB198</f>
        <v>7</v>
      </c>
      <c r="O198" s="122"/>
      <c r="P198" s="96">
        <f>SUM(J198:N198)</f>
        <v>7</v>
      </c>
      <c r="Q198" s="97">
        <f>IF(C198=2016, P198/3,P198)+O198</f>
        <v>2.3333333333333335</v>
      </c>
      <c r="R198" s="101"/>
      <c r="S198" s="41"/>
      <c r="T198" s="41"/>
      <c r="U198" s="41"/>
      <c r="V198" s="41"/>
      <c r="W198" s="41">
        <f>7</f>
        <v>7</v>
      </c>
      <c r="X198" s="41"/>
      <c r="Y198" s="13"/>
      <c r="AA198" s="96">
        <f>SUM(S198:Y198)</f>
        <v>7</v>
      </c>
      <c r="AB198" s="97">
        <f>IF(C198=2015, AA198/3,AA198)+Z198</f>
        <v>7</v>
      </c>
    </row>
    <row r="199" spans="1:28" x14ac:dyDescent="0.25">
      <c r="A199" s="71" t="s">
        <v>238</v>
      </c>
      <c r="B199" s="71" t="s">
        <v>233</v>
      </c>
      <c r="C199" s="3">
        <v>2012</v>
      </c>
      <c r="D199" s="1">
        <f>Q199+G199+F199+H199+E199</f>
        <v>294</v>
      </c>
      <c r="G199" s="50">
        <f>38</f>
        <v>38</v>
      </c>
      <c r="H199" s="120"/>
      <c r="L199" s="50">
        <f>42</f>
        <v>42</v>
      </c>
      <c r="M199" s="50">
        <f>50</f>
        <v>50</v>
      </c>
      <c r="N199" s="50">
        <f>AB199</f>
        <v>164</v>
      </c>
      <c r="O199" s="120"/>
      <c r="P199" s="96">
        <f>SUM(J199:N199)</f>
        <v>256</v>
      </c>
      <c r="Q199" s="97">
        <f>IF(C199=2016, P199/3,P199)+O199</f>
        <v>256</v>
      </c>
      <c r="R199" s="22"/>
      <c r="S199" s="41"/>
      <c r="T199" s="41"/>
      <c r="U199" s="41">
        <f>69</f>
        <v>69</v>
      </c>
      <c r="V199" s="41">
        <f>57</f>
        <v>57</v>
      </c>
      <c r="W199" s="41"/>
      <c r="X199" s="41">
        <f>24</f>
        <v>24</v>
      </c>
      <c r="Y199" s="13">
        <f>14</f>
        <v>14</v>
      </c>
      <c r="Z199" s="95"/>
      <c r="AA199" s="96">
        <f>SUM(S199:Y199)</f>
        <v>164</v>
      </c>
      <c r="AB199" s="97">
        <f>IF(C199=2015, AA199/3,AA199)+Z199</f>
        <v>164</v>
      </c>
    </row>
    <row r="200" spans="1:28" x14ac:dyDescent="0.25">
      <c r="A200" s="11" t="s">
        <v>811</v>
      </c>
      <c r="B200" s="60" t="s">
        <v>590</v>
      </c>
      <c r="C200" s="62">
        <v>2013</v>
      </c>
      <c r="D200" s="1">
        <f>Q200+G200+F200+H200+E200</f>
        <v>6</v>
      </c>
      <c r="G200" s="50">
        <f>3</f>
        <v>3</v>
      </c>
      <c r="H200" s="158"/>
      <c r="I200" s="22"/>
      <c r="M200" s="50">
        <f>0</f>
        <v>0</v>
      </c>
      <c r="O200" s="120">
        <f>3</f>
        <v>3</v>
      </c>
      <c r="P200" s="96">
        <f>SUM(J200:N200)</f>
        <v>0</v>
      </c>
      <c r="Q200" s="97">
        <f>IF(C200=2016, P200/3,P200)+O200</f>
        <v>3</v>
      </c>
      <c r="R200" s="22"/>
      <c r="S200" s="157"/>
      <c r="T200" s="157"/>
      <c r="U200" s="157"/>
      <c r="V200" s="157"/>
      <c r="W200" s="157"/>
      <c r="X200" s="157"/>
      <c r="Y200" s="13"/>
      <c r="Z200" s="95"/>
      <c r="AA200" s="96">
        <f>SUM(S200:Y200)</f>
        <v>0</v>
      </c>
      <c r="AB200" s="97">
        <f>IF(C200=2015, AA200/3,AA200)+Z200</f>
        <v>0</v>
      </c>
    </row>
    <row r="201" spans="1:28" x14ac:dyDescent="0.25">
      <c r="A201" s="11" t="s">
        <v>476</v>
      </c>
      <c r="B201" s="60" t="s">
        <v>6</v>
      </c>
      <c r="C201" s="62">
        <v>2013</v>
      </c>
      <c r="D201" s="1">
        <f>Q201+G201+F201+H201+E201</f>
        <v>32</v>
      </c>
      <c r="H201" s="120"/>
      <c r="I201" s="182"/>
      <c r="N201" s="50">
        <f>AB201</f>
        <v>32</v>
      </c>
      <c r="O201" s="120"/>
      <c r="P201" s="96">
        <f>SUM(J201:N201)</f>
        <v>32</v>
      </c>
      <c r="Q201" s="97">
        <f>IF(C201=2016, P201/3,P201)+O201</f>
        <v>32</v>
      </c>
      <c r="R201" s="22"/>
      <c r="S201" s="41"/>
      <c r="T201" s="41"/>
      <c r="U201" s="41"/>
      <c r="V201" s="41"/>
      <c r="W201" s="41"/>
      <c r="X201" s="41">
        <f>32</f>
        <v>32</v>
      </c>
      <c r="Y201" s="13"/>
      <c r="Z201" s="95"/>
      <c r="AA201" s="96">
        <f>SUM(S201:Y201)</f>
        <v>32</v>
      </c>
      <c r="AB201" s="97">
        <f>IF(C201=2015, AA201/3,AA201)+Z201</f>
        <v>32</v>
      </c>
    </row>
    <row r="202" spans="1:28" x14ac:dyDescent="0.25">
      <c r="A202" s="11" t="s">
        <v>100</v>
      </c>
      <c r="B202" s="60" t="s">
        <v>64</v>
      </c>
      <c r="C202" s="62">
        <v>2013</v>
      </c>
      <c r="D202" s="1">
        <f>Q202+G202+F202+H202+E202</f>
        <v>12</v>
      </c>
      <c r="H202" s="120"/>
      <c r="N202" s="50">
        <f>AB202</f>
        <v>12</v>
      </c>
      <c r="O202" s="120"/>
      <c r="P202" s="96">
        <f>SUM(J202:N202)</f>
        <v>12</v>
      </c>
      <c r="Q202" s="97">
        <f>IF(C202=2016, P202/3,P202)+O202</f>
        <v>12</v>
      </c>
      <c r="R202" s="22"/>
      <c r="T202" s="50">
        <v>9</v>
      </c>
      <c r="U202" s="50">
        <f>3</f>
        <v>3</v>
      </c>
      <c r="Z202" s="95"/>
      <c r="AA202" s="96">
        <f>SUM(S202:Y202)</f>
        <v>12</v>
      </c>
      <c r="AB202" s="97">
        <f>IF(C202=2015, AA202/3,AA202)+Z202</f>
        <v>12</v>
      </c>
    </row>
    <row r="203" spans="1:28" x14ac:dyDescent="0.25">
      <c r="A203" s="11" t="s">
        <v>526</v>
      </c>
      <c r="B203" s="66" t="s">
        <v>301</v>
      </c>
      <c r="C203" s="46">
        <v>2015</v>
      </c>
      <c r="D203" s="1">
        <f>Q203+G203+F203+H203+E203</f>
        <v>8</v>
      </c>
      <c r="H203" s="120"/>
      <c r="N203" s="50">
        <f>AB203</f>
        <v>8</v>
      </c>
      <c r="O203" s="120"/>
      <c r="P203" s="96">
        <f>SUM(J203:N203)</f>
        <v>8</v>
      </c>
      <c r="Q203" s="97">
        <f>IF(C203=2016, P203/3,P203)+O203</f>
        <v>8</v>
      </c>
      <c r="R203" s="101"/>
      <c r="S203" s="41"/>
      <c r="T203" s="41"/>
      <c r="U203" s="41"/>
      <c r="V203" s="41">
        <f>24</f>
        <v>24</v>
      </c>
      <c r="W203" s="41"/>
      <c r="X203" s="41">
        <f>0</f>
        <v>0</v>
      </c>
      <c r="Y203" s="13"/>
      <c r="Z203" s="95"/>
      <c r="AA203" s="96">
        <f>SUM(S203:Y203)</f>
        <v>24</v>
      </c>
      <c r="AB203" s="97">
        <f>IF(C203=2015, AA203/3,AA203)+Z203</f>
        <v>8</v>
      </c>
    </row>
    <row r="204" spans="1:28" x14ac:dyDescent="0.25">
      <c r="A204" s="11" t="s">
        <v>557</v>
      </c>
      <c r="B204" s="60" t="s">
        <v>482</v>
      </c>
      <c r="C204" s="62">
        <v>2014</v>
      </c>
      <c r="D204" s="1">
        <f>Q204+G204+F204+H204+E204</f>
        <v>67</v>
      </c>
      <c r="F204" s="50">
        <f>0+2+1</f>
        <v>3</v>
      </c>
      <c r="H204" s="158"/>
      <c r="I204" s="22"/>
      <c r="K204" s="50">
        <f>32</f>
        <v>32</v>
      </c>
      <c r="L204" s="50">
        <f>0</f>
        <v>0</v>
      </c>
      <c r="M204" s="50">
        <f>32</f>
        <v>32</v>
      </c>
      <c r="O204" s="120"/>
      <c r="P204" s="96">
        <f>SUM(J204:N204)</f>
        <v>64</v>
      </c>
      <c r="Q204" s="97">
        <f>IF(C204=2016, P204/3,P204)+O204</f>
        <v>64</v>
      </c>
      <c r="R204" s="22"/>
      <c r="Z204" s="95"/>
      <c r="AA204" s="96">
        <f>SUM(S204:Y204)</f>
        <v>0</v>
      </c>
      <c r="AB204" s="97">
        <f>IF(C204=2015, AA204/3,AA204)+Z204</f>
        <v>0</v>
      </c>
    </row>
    <row r="205" spans="1:28" x14ac:dyDescent="0.25">
      <c r="A205" s="11" t="s">
        <v>303</v>
      </c>
      <c r="B205" s="60" t="s">
        <v>63</v>
      </c>
      <c r="C205" s="62">
        <v>2014</v>
      </c>
      <c r="D205" s="1">
        <f>Q205+G205+F205+H205+E205</f>
        <v>51</v>
      </c>
      <c r="H205" s="120"/>
      <c r="N205" s="50">
        <f>AB205</f>
        <v>51</v>
      </c>
      <c r="O205" s="120"/>
      <c r="P205" s="96">
        <f>SUM(J205:N205)</f>
        <v>51</v>
      </c>
      <c r="Q205" s="97">
        <f>IF(C205=2016, P205/3,P205)+O205</f>
        <v>51</v>
      </c>
      <c r="R205" s="22"/>
      <c r="V205" s="50">
        <f>51</f>
        <v>51</v>
      </c>
      <c r="Z205" s="95"/>
      <c r="AA205" s="96">
        <f>SUM(S205:Y205)</f>
        <v>51</v>
      </c>
      <c r="AB205" s="97">
        <f>IF(C205=2015, AA205/3,AA205)+Z205</f>
        <v>51</v>
      </c>
    </row>
    <row r="206" spans="1:28" x14ac:dyDescent="0.25">
      <c r="A206" s="11" t="s">
        <v>436</v>
      </c>
      <c r="B206" s="66" t="s">
        <v>63</v>
      </c>
      <c r="C206" s="46">
        <v>2016</v>
      </c>
      <c r="D206" s="1">
        <f>Q206+G206+F206+H206+E206</f>
        <v>190</v>
      </c>
      <c r="E206" s="160">
        <f>46+7+4</f>
        <v>57</v>
      </c>
      <c r="F206" s="160">
        <f>86+4</f>
        <v>90</v>
      </c>
      <c r="G206" s="160">
        <f>16</f>
        <v>16</v>
      </c>
      <c r="H206" s="122"/>
      <c r="I206" s="101"/>
      <c r="J206" s="108">
        <f>9</f>
        <v>9</v>
      </c>
      <c r="K206" s="108">
        <f>33</f>
        <v>33</v>
      </c>
      <c r="L206" s="108">
        <v>27</v>
      </c>
      <c r="M206" s="108">
        <f>12</f>
        <v>12</v>
      </c>
      <c r="N206" s="108">
        <f>AB206</f>
        <v>0</v>
      </c>
      <c r="O206" s="122"/>
      <c r="P206" s="96">
        <f>SUM(J206:N206)</f>
        <v>81</v>
      </c>
      <c r="Q206" s="97">
        <f>IF(C206=2016, P206/3,P206)+O206</f>
        <v>27</v>
      </c>
      <c r="R206" s="101"/>
      <c r="S206" s="41"/>
      <c r="T206" s="41"/>
      <c r="U206" s="41"/>
      <c r="V206" s="41"/>
      <c r="W206" s="41">
        <f>0</f>
        <v>0</v>
      </c>
      <c r="X206" s="41">
        <f>0</f>
        <v>0</v>
      </c>
      <c r="Y206" s="13"/>
      <c r="AA206" s="96">
        <f>SUM(S206:Y206)</f>
        <v>0</v>
      </c>
      <c r="AB206" s="97">
        <f>IF(C206=2015, AA206/3,AA206)+Z206</f>
        <v>0</v>
      </c>
    </row>
    <row r="207" spans="1:28" x14ac:dyDescent="0.25">
      <c r="A207" s="11" t="s">
        <v>695</v>
      </c>
      <c r="B207" s="60" t="s">
        <v>64</v>
      </c>
      <c r="C207" s="62">
        <v>2013</v>
      </c>
      <c r="D207" s="1">
        <f>Q207+G207+F207+H207+E207</f>
        <v>28</v>
      </c>
      <c r="E207" s="177">
        <f>0+6</f>
        <v>6</v>
      </c>
      <c r="F207" s="50">
        <f>0</f>
        <v>0</v>
      </c>
      <c r="H207" s="158"/>
      <c r="I207" s="22"/>
      <c r="K207" s="50">
        <f>22</f>
        <v>22</v>
      </c>
      <c r="O207" s="120"/>
      <c r="P207" s="96">
        <f>SUM(J207:N207)</f>
        <v>22</v>
      </c>
      <c r="Q207" s="97">
        <f>IF(C207=2016, P207/3,P207)+O207</f>
        <v>22</v>
      </c>
      <c r="R207" s="22"/>
      <c r="Z207" s="95"/>
      <c r="AA207" s="96">
        <f>SUM(S207:Y207)</f>
        <v>0</v>
      </c>
      <c r="AB207" s="97">
        <f>IF(C207=2015, AA207/3,AA207)+Z207</f>
        <v>0</v>
      </c>
    </row>
    <row r="208" spans="1:28" x14ac:dyDescent="0.25">
      <c r="A208" s="11" t="s">
        <v>417</v>
      </c>
      <c r="B208" s="11" t="s">
        <v>274</v>
      </c>
      <c r="C208" s="3">
        <v>2012</v>
      </c>
      <c r="D208" s="1">
        <f>Q208+G208+F208+H208+E208</f>
        <v>10</v>
      </c>
      <c r="E208" s="182"/>
      <c r="F208" s="182"/>
      <c r="G208" s="182"/>
      <c r="H208" s="120"/>
      <c r="I208" s="182"/>
      <c r="J208" s="182"/>
      <c r="K208" s="182"/>
      <c r="L208" s="182"/>
      <c r="M208" s="182"/>
      <c r="N208" s="182">
        <f>AB208</f>
        <v>10</v>
      </c>
      <c r="O208" s="120"/>
      <c r="P208" s="96">
        <f>SUM(J208:N208)</f>
        <v>10</v>
      </c>
      <c r="Q208" s="97">
        <f>IF(C208=2016, P208/3,P208)+O208</f>
        <v>10</v>
      </c>
      <c r="R208" s="22"/>
      <c r="S208" s="182"/>
      <c r="T208" s="182"/>
      <c r="U208" s="182"/>
      <c r="V208" s="182"/>
      <c r="W208" s="182">
        <f>10</f>
        <v>10</v>
      </c>
      <c r="X208" s="182">
        <f>0</f>
        <v>0</v>
      </c>
      <c r="Z208" s="95"/>
      <c r="AA208" s="96">
        <f>SUM(S208:Y208)</f>
        <v>10</v>
      </c>
      <c r="AB208" s="97">
        <f>IF(C208=2015, AA208/3,AA208)+Z208</f>
        <v>10</v>
      </c>
    </row>
    <row r="209" spans="1:28" x14ac:dyDescent="0.25">
      <c r="A209" s="11" t="s">
        <v>470</v>
      </c>
      <c r="B209" s="66" t="s">
        <v>274</v>
      </c>
      <c r="C209" s="46">
        <v>2016</v>
      </c>
      <c r="D209" s="1">
        <f>Q209+G209+F209+H209+E209</f>
        <v>1</v>
      </c>
      <c r="E209" s="160"/>
      <c r="F209" s="160"/>
      <c r="G209" s="160"/>
      <c r="H209" s="122"/>
      <c r="I209" s="101"/>
      <c r="J209" s="108"/>
      <c r="K209" s="108"/>
      <c r="L209" s="108"/>
      <c r="M209" s="108"/>
      <c r="N209" s="108">
        <f>AB209</f>
        <v>3</v>
      </c>
      <c r="O209" s="122"/>
      <c r="P209" s="96">
        <f>SUM(J209:N209)</f>
        <v>3</v>
      </c>
      <c r="Q209" s="97">
        <f>IF(C209=2016, P209/3,P209)+O209</f>
        <v>1</v>
      </c>
      <c r="R209" s="101"/>
      <c r="S209" s="41"/>
      <c r="T209" s="41"/>
      <c r="U209" s="41"/>
      <c r="V209" s="41"/>
      <c r="W209" s="41"/>
      <c r="X209" s="41">
        <f>3</f>
        <v>3</v>
      </c>
      <c r="Y209" s="13"/>
      <c r="AA209" s="96">
        <f>SUM(S209:Y209)</f>
        <v>3</v>
      </c>
      <c r="AB209" s="97">
        <f>IF(C209=2015, AA209/3,AA209)+Z209</f>
        <v>3</v>
      </c>
    </row>
    <row r="210" spans="1:28" x14ac:dyDescent="0.25">
      <c r="A210" s="11" t="s">
        <v>403</v>
      </c>
      <c r="B210" s="60" t="s">
        <v>7</v>
      </c>
      <c r="C210" s="62">
        <v>2013</v>
      </c>
      <c r="D210" s="1">
        <f>Q210+G210+F210+H210+E210</f>
        <v>145</v>
      </c>
      <c r="E210" s="177">
        <f>28</f>
        <v>28</v>
      </c>
      <c r="F210" s="50">
        <f>0</f>
        <v>0</v>
      </c>
      <c r="G210" s="50">
        <f>28</f>
        <v>28</v>
      </c>
      <c r="H210" s="120"/>
      <c r="K210" s="50">
        <f>22</f>
        <v>22</v>
      </c>
      <c r="L210" s="50">
        <f>25</f>
        <v>25</v>
      </c>
      <c r="M210" s="50">
        <f>13</f>
        <v>13</v>
      </c>
      <c r="N210" s="50">
        <f>AB210</f>
        <v>29</v>
      </c>
      <c r="O210" s="120"/>
      <c r="P210" s="96">
        <f>SUM(J210:N210)</f>
        <v>89</v>
      </c>
      <c r="Q210" s="97">
        <f>IF(C210=2016, P210/3,P210)+O210</f>
        <v>89</v>
      </c>
      <c r="R210" s="22"/>
      <c r="W210" s="50">
        <f>29</f>
        <v>29</v>
      </c>
      <c r="X210" s="50">
        <f>0</f>
        <v>0</v>
      </c>
      <c r="Z210" s="95"/>
      <c r="AA210" s="96">
        <f>SUM(S210:Y210)</f>
        <v>29</v>
      </c>
      <c r="AB210" s="97">
        <f>IF(C210=2015, AA210/3,AA210)+Z210</f>
        <v>29</v>
      </c>
    </row>
    <row r="211" spans="1:28" x14ac:dyDescent="0.25">
      <c r="A211" s="11" t="s">
        <v>412</v>
      </c>
      <c r="B211" s="60" t="s">
        <v>63</v>
      </c>
      <c r="C211" s="62">
        <v>2014</v>
      </c>
      <c r="D211" s="1">
        <f>Q211+G211+F211+H211+E211</f>
        <v>10</v>
      </c>
      <c r="H211" s="120"/>
      <c r="N211" s="50">
        <f>AB211</f>
        <v>10</v>
      </c>
      <c r="O211" s="120"/>
      <c r="P211" s="96">
        <f>SUM(J211:N211)</f>
        <v>10</v>
      </c>
      <c r="Q211" s="97">
        <f>IF(C211=2016, P211/3,P211)+O211</f>
        <v>10</v>
      </c>
      <c r="R211" s="22"/>
      <c r="W211" s="50">
        <f>10</f>
        <v>10</v>
      </c>
      <c r="Z211" s="95"/>
      <c r="AA211" s="96">
        <f>SUM(S211:Y211)</f>
        <v>10</v>
      </c>
      <c r="AB211" s="97">
        <f>IF(C211=2015, AA211/3,AA211)+Z211</f>
        <v>10</v>
      </c>
    </row>
    <row r="212" spans="1:28" x14ac:dyDescent="0.25">
      <c r="A212" s="11" t="s">
        <v>696</v>
      </c>
      <c r="B212" s="11" t="s">
        <v>0</v>
      </c>
      <c r="C212" s="3">
        <v>2013</v>
      </c>
      <c r="D212" s="1">
        <f>Q212+G212+F212+H212+E212</f>
        <v>43</v>
      </c>
      <c r="E212" s="177">
        <f>23</f>
        <v>23</v>
      </c>
      <c r="H212" s="158"/>
      <c r="I212" s="36"/>
      <c r="K212" s="50">
        <f>20</f>
        <v>20</v>
      </c>
      <c r="O212" s="182"/>
      <c r="P212" s="96">
        <f>SUM(J212:N212)</f>
        <v>20</v>
      </c>
      <c r="Q212" s="97">
        <f>IF(C212=2016, P212/3,P212)+O212</f>
        <v>20</v>
      </c>
      <c r="S212" s="182"/>
      <c r="T212" s="182"/>
      <c r="U212" s="182"/>
      <c r="V212" s="182"/>
      <c r="W212" s="182"/>
      <c r="X212" s="182"/>
      <c r="AA212" s="96">
        <f>SUM(S212:Y212)</f>
        <v>0</v>
      </c>
      <c r="AB212" s="97">
        <f>IF(C212=2015, AA212/3,AA212)+Z212</f>
        <v>0</v>
      </c>
    </row>
    <row r="213" spans="1:28" x14ac:dyDescent="0.25">
      <c r="A213" s="11" t="s">
        <v>262</v>
      </c>
      <c r="B213" s="60" t="s">
        <v>64</v>
      </c>
      <c r="C213" s="62">
        <v>2012</v>
      </c>
      <c r="D213" s="1">
        <f>Q213+G213+F213+H213+E213</f>
        <v>6</v>
      </c>
      <c r="H213" s="120"/>
      <c r="I213" s="182"/>
      <c r="N213" s="50">
        <f>AB213</f>
        <v>6</v>
      </c>
      <c r="O213" s="120"/>
      <c r="P213" s="96">
        <f>SUM(J213:N213)</f>
        <v>6</v>
      </c>
      <c r="Q213" s="97">
        <f>IF(C213=2016, P213/3,P213)+O213</f>
        <v>6</v>
      </c>
      <c r="R213" s="22"/>
      <c r="S213" s="182"/>
      <c r="T213" s="182"/>
      <c r="U213" s="182">
        <f>6</f>
        <v>6</v>
      </c>
      <c r="V213" s="182"/>
      <c r="W213" s="182"/>
      <c r="X213" s="182"/>
      <c r="Z213" s="95"/>
      <c r="AA213" s="96">
        <f>SUM(S213:Y213)</f>
        <v>6</v>
      </c>
      <c r="AB213" s="97">
        <f>IF(C213=2015, AA213/3,AA213)+Z213</f>
        <v>6</v>
      </c>
    </row>
    <row r="214" spans="1:28" x14ac:dyDescent="0.25">
      <c r="A214" s="11" t="s">
        <v>477</v>
      </c>
      <c r="B214" s="60" t="s">
        <v>7</v>
      </c>
      <c r="C214" s="62">
        <v>2014</v>
      </c>
      <c r="D214" s="1">
        <f>Q214+G214+F214+H214+E214</f>
        <v>36</v>
      </c>
      <c r="H214" s="120"/>
      <c r="K214" s="50">
        <f>0</f>
        <v>0</v>
      </c>
      <c r="L214" s="50">
        <f>13</f>
        <v>13</v>
      </c>
      <c r="N214" s="50">
        <f>AB214</f>
        <v>23</v>
      </c>
      <c r="O214" s="120"/>
      <c r="P214" s="96">
        <f>SUM(J214:N214)</f>
        <v>36</v>
      </c>
      <c r="Q214" s="97">
        <f>IF(C214=2016, P214/3,P214)+O214</f>
        <v>36</v>
      </c>
      <c r="R214" s="22"/>
      <c r="S214" s="41"/>
      <c r="T214" s="41"/>
      <c r="U214" s="41"/>
      <c r="V214" s="41"/>
      <c r="W214" s="41"/>
      <c r="X214" s="41">
        <f>23</f>
        <v>23</v>
      </c>
      <c r="Y214" s="13"/>
      <c r="Z214" s="95"/>
      <c r="AA214" s="96">
        <f>SUM(S214:Y214)</f>
        <v>23</v>
      </c>
      <c r="AB214" s="97">
        <f>IF(C214=2015, AA214/3,AA214)+Z214</f>
        <v>23</v>
      </c>
    </row>
    <row r="215" spans="1:28" x14ac:dyDescent="0.25">
      <c r="A215" s="11" t="s">
        <v>612</v>
      </c>
      <c r="B215" s="60" t="s">
        <v>298</v>
      </c>
      <c r="C215" s="62"/>
      <c r="D215" s="1">
        <f>Q215+G215+F215+H215+E215</f>
        <v>34</v>
      </c>
      <c r="H215" s="158"/>
      <c r="I215" s="22"/>
      <c r="L215" s="50">
        <f>34</f>
        <v>34</v>
      </c>
      <c r="O215" s="120"/>
      <c r="P215" s="96">
        <f>SUM(J215:N215)</f>
        <v>34</v>
      </c>
      <c r="Q215" s="97">
        <f>IF(C215=2016, P215/3,P215)+O215</f>
        <v>34</v>
      </c>
      <c r="R215" s="22"/>
      <c r="S215" s="157"/>
      <c r="T215" s="157"/>
      <c r="U215" s="157"/>
      <c r="V215" s="157"/>
      <c r="W215" s="157"/>
      <c r="X215" s="157"/>
      <c r="Y215" s="13"/>
      <c r="Z215" s="95"/>
      <c r="AA215" s="96">
        <f>SUM(S215:Y215)</f>
        <v>0</v>
      </c>
      <c r="AB215" s="97">
        <f>IF(C215=2015, AA215/3,AA215)+Z215</f>
        <v>0</v>
      </c>
    </row>
    <row r="216" spans="1:28" s="17" customFormat="1" x14ac:dyDescent="0.25">
      <c r="A216" s="199" t="s">
        <v>15</v>
      </c>
      <c r="B216" s="200"/>
      <c r="C216" s="201"/>
      <c r="D216" s="22"/>
      <c r="E216" s="177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96">
        <f t="shared" ref="P184:P268" si="2">SUM(J216:N216)</f>
        <v>0</v>
      </c>
      <c r="Q216" s="97">
        <f t="shared" ref="Q184:Q268" si="3">IF(C216=2016, P216/3,P216)+O216</f>
        <v>0</v>
      </c>
      <c r="R216" s="22"/>
      <c r="S216" s="50"/>
      <c r="T216" s="50"/>
      <c r="U216" s="50"/>
      <c r="V216" s="50"/>
      <c r="W216" s="50"/>
      <c r="X216" s="50"/>
      <c r="Y216" s="22"/>
      <c r="Z216" s="68"/>
      <c r="AA216" s="96">
        <f t="shared" ref="AA184:AA268" si="4">SUM(S216:Y216)</f>
        <v>0</v>
      </c>
      <c r="AB216" s="97">
        <f t="shared" ref="AB184:AB268" si="5">IF(C216=2015, AA216/3,AA216)+Z216</f>
        <v>0</v>
      </c>
    </row>
    <row r="217" spans="1:28" s="17" customFormat="1" x14ac:dyDescent="0.25">
      <c r="A217" s="11" t="s">
        <v>729</v>
      </c>
      <c r="B217" s="60" t="s">
        <v>63</v>
      </c>
      <c r="C217" s="62">
        <v>2014</v>
      </c>
      <c r="D217" s="1">
        <f>Q217+G217+F217+H217+E217</f>
        <v>53</v>
      </c>
      <c r="E217" s="177">
        <f>0+7+4</f>
        <v>11</v>
      </c>
      <c r="F217" s="50">
        <f>23+4</f>
        <v>27</v>
      </c>
      <c r="G217" s="50">
        <f>0</f>
        <v>0</v>
      </c>
      <c r="H217" s="158"/>
      <c r="I217" s="22"/>
      <c r="J217" s="50">
        <f>15</f>
        <v>15</v>
      </c>
      <c r="K217" s="50"/>
      <c r="L217" s="50"/>
      <c r="M217" s="50"/>
      <c r="N217" s="50"/>
      <c r="O217" s="120"/>
      <c r="P217" s="96">
        <f>SUM(J217:N217)</f>
        <v>15</v>
      </c>
      <c r="Q217" s="97">
        <f>IF(C217=2016, P217/3,P217)+O217</f>
        <v>15</v>
      </c>
      <c r="R217" s="22"/>
      <c r="S217" s="50"/>
      <c r="T217" s="50"/>
      <c r="U217" s="50"/>
      <c r="V217" s="50"/>
      <c r="W217" s="50"/>
      <c r="X217" s="50"/>
      <c r="Y217" s="22"/>
      <c r="Z217" s="68"/>
      <c r="AA217" s="96">
        <f>SUM(S217:Y217)</f>
        <v>0</v>
      </c>
      <c r="AB217" s="97">
        <f>IF(C217=2015, AA217/3,AA217)+Z217</f>
        <v>0</v>
      </c>
    </row>
    <row r="218" spans="1:28" s="17" customFormat="1" x14ac:dyDescent="0.25">
      <c r="A218" s="11" t="s">
        <v>859</v>
      </c>
      <c r="B218" s="60" t="s">
        <v>86</v>
      </c>
      <c r="C218" s="62">
        <v>2012</v>
      </c>
      <c r="D218" s="1">
        <f>Q218+G218+F218+H218+E218</f>
        <v>29</v>
      </c>
      <c r="E218" s="177"/>
      <c r="F218" s="50">
        <f>22+4+3</f>
        <v>29</v>
      </c>
      <c r="G218" s="50"/>
      <c r="H218" s="158"/>
      <c r="I218" s="22"/>
      <c r="J218" s="50"/>
      <c r="K218" s="50"/>
      <c r="L218" s="50"/>
      <c r="M218" s="50"/>
      <c r="N218" s="50"/>
      <c r="O218" s="120"/>
      <c r="P218" s="96"/>
      <c r="Q218" s="97"/>
      <c r="R218" s="22"/>
      <c r="S218" s="50"/>
      <c r="T218" s="50"/>
      <c r="U218" s="50"/>
      <c r="V218" s="50"/>
      <c r="W218" s="50"/>
      <c r="X218" s="50"/>
      <c r="Y218" s="22"/>
      <c r="Z218" s="68"/>
      <c r="AA218" s="96"/>
      <c r="AB218" s="97"/>
    </row>
    <row r="219" spans="1:28" s="17" customFormat="1" x14ac:dyDescent="0.25">
      <c r="A219" s="11" t="s">
        <v>873</v>
      </c>
      <c r="B219" s="60" t="s">
        <v>86</v>
      </c>
      <c r="C219" s="62">
        <v>2012</v>
      </c>
      <c r="D219" s="1">
        <f>Q219+G219+F219+H219+E219</f>
        <v>7</v>
      </c>
      <c r="E219" s="177"/>
      <c r="F219" s="173">
        <f>4+3</f>
        <v>7</v>
      </c>
      <c r="G219" s="173"/>
      <c r="H219" s="158"/>
      <c r="I219" s="22"/>
      <c r="J219" s="173"/>
      <c r="K219" s="173"/>
      <c r="L219" s="173"/>
      <c r="M219" s="173"/>
      <c r="N219" s="173"/>
      <c r="O219" s="120"/>
      <c r="P219" s="96"/>
      <c r="Q219" s="97"/>
      <c r="R219" s="22"/>
      <c r="S219" s="173"/>
      <c r="T219" s="173"/>
      <c r="U219" s="173"/>
      <c r="V219" s="173"/>
      <c r="W219" s="173"/>
      <c r="X219" s="173"/>
      <c r="Y219" s="22"/>
      <c r="Z219" s="68"/>
      <c r="AA219" s="96"/>
      <c r="AB219" s="97"/>
    </row>
    <row r="220" spans="1:28" s="17" customFormat="1" x14ac:dyDescent="0.25">
      <c r="A220" s="11" t="s">
        <v>874</v>
      </c>
      <c r="B220" s="60" t="s">
        <v>482</v>
      </c>
      <c r="C220" s="62">
        <v>2014</v>
      </c>
      <c r="D220" s="1">
        <f>Q220+G220+F220+H220+E220</f>
        <v>3</v>
      </c>
      <c r="E220" s="177"/>
      <c r="F220" s="173">
        <f>2+1</f>
        <v>3</v>
      </c>
      <c r="G220" s="173"/>
      <c r="H220" s="158"/>
      <c r="I220" s="22"/>
      <c r="J220" s="173"/>
      <c r="K220" s="173"/>
      <c r="L220" s="173"/>
      <c r="M220" s="173"/>
      <c r="N220" s="173"/>
      <c r="O220" s="120"/>
      <c r="P220" s="96"/>
      <c r="Q220" s="97"/>
      <c r="R220" s="22"/>
      <c r="S220" s="173"/>
      <c r="T220" s="173"/>
      <c r="U220" s="173"/>
      <c r="V220" s="173"/>
      <c r="W220" s="173"/>
      <c r="X220" s="173"/>
      <c r="Y220" s="22"/>
      <c r="Z220" s="68"/>
      <c r="AA220" s="96"/>
      <c r="AB220" s="97"/>
    </row>
    <row r="221" spans="1:28" x14ac:dyDescent="0.25">
      <c r="A221" s="11" t="s">
        <v>779</v>
      </c>
      <c r="B221" s="60" t="s">
        <v>298</v>
      </c>
      <c r="C221" s="62">
        <v>2013</v>
      </c>
      <c r="D221" s="1">
        <f>Q221+G221+F221+H221+E221</f>
        <v>32</v>
      </c>
      <c r="E221" s="177">
        <f>23</f>
        <v>23</v>
      </c>
      <c r="G221" s="50">
        <f>9</f>
        <v>9</v>
      </c>
      <c r="H221" s="158"/>
      <c r="I221" s="22"/>
      <c r="O221" s="120"/>
      <c r="P221" s="96"/>
      <c r="Q221" s="97"/>
      <c r="R221" s="22"/>
      <c r="S221" s="157"/>
      <c r="T221" s="157"/>
      <c r="U221" s="157"/>
      <c r="V221" s="157"/>
      <c r="W221" s="157"/>
      <c r="X221" s="157"/>
      <c r="Y221" s="13"/>
      <c r="Z221" s="95"/>
      <c r="AA221" s="96"/>
      <c r="AB221" s="97"/>
    </row>
    <row r="222" spans="1:28" x14ac:dyDescent="0.25">
      <c r="A222" s="11" t="s">
        <v>890</v>
      </c>
      <c r="B222" s="60" t="s">
        <v>409</v>
      </c>
      <c r="C222" s="62">
        <v>2016</v>
      </c>
      <c r="D222" s="1">
        <f>Q222+G222+F222+H222+E222</f>
        <v>1</v>
      </c>
      <c r="E222" s="177">
        <f>1</f>
        <v>1</v>
      </c>
      <c r="F222" s="177"/>
      <c r="G222" s="177"/>
      <c r="H222" s="158"/>
      <c r="I222" s="22"/>
      <c r="J222" s="177"/>
      <c r="K222" s="177"/>
      <c r="L222" s="177"/>
      <c r="M222" s="177"/>
      <c r="N222" s="177"/>
      <c r="O222" s="120"/>
      <c r="P222" s="96"/>
      <c r="Q222" s="97"/>
      <c r="R222" s="22"/>
      <c r="S222" s="157"/>
      <c r="T222" s="157"/>
      <c r="U222" s="157"/>
      <c r="V222" s="157"/>
      <c r="W222" s="157"/>
      <c r="X222" s="157"/>
      <c r="Y222" s="13"/>
      <c r="Z222" s="95"/>
      <c r="AA222" s="96"/>
      <c r="AB222" s="97"/>
    </row>
    <row r="223" spans="1:28" x14ac:dyDescent="0.25">
      <c r="A223" s="11" t="s">
        <v>734</v>
      </c>
      <c r="B223" s="60" t="s">
        <v>0</v>
      </c>
      <c r="C223" s="62">
        <v>2012</v>
      </c>
      <c r="D223" s="1">
        <f>Q223+G223+F223+H223+E223</f>
        <v>71</v>
      </c>
      <c r="E223" s="177">
        <f>23+1</f>
        <v>24</v>
      </c>
      <c r="F223" s="50">
        <f>35+3+3</f>
        <v>41</v>
      </c>
      <c r="G223" s="50">
        <f>0</f>
        <v>0</v>
      </c>
      <c r="H223" s="158"/>
      <c r="I223" s="22"/>
      <c r="J223" s="50">
        <f>6</f>
        <v>6</v>
      </c>
      <c r="O223" s="120"/>
      <c r="P223" s="96">
        <f>SUM(J223:N223)</f>
        <v>6</v>
      </c>
      <c r="Q223" s="97">
        <f>IF(C223=2016, P223/3,P223)+O223</f>
        <v>6</v>
      </c>
      <c r="R223" s="22"/>
      <c r="S223" s="157"/>
      <c r="T223" s="157"/>
      <c r="U223" s="157"/>
      <c r="V223" s="157"/>
      <c r="W223" s="157"/>
      <c r="X223" s="157"/>
      <c r="Y223" s="13"/>
      <c r="Z223" s="95"/>
      <c r="AA223" s="96">
        <f>SUM(S223:Y223)</f>
        <v>0</v>
      </c>
      <c r="AB223" s="97">
        <f>IF(C223=2015, AA223/3,AA223)+Z223</f>
        <v>0</v>
      </c>
    </row>
    <row r="224" spans="1:28" x14ac:dyDescent="0.25">
      <c r="A224" s="11" t="s">
        <v>893</v>
      </c>
      <c r="B224" s="60" t="s">
        <v>0</v>
      </c>
      <c r="C224" s="62">
        <v>2016</v>
      </c>
      <c r="D224" s="1">
        <f>Q224+G224+F224+H224+E224</f>
        <v>71</v>
      </c>
      <c r="E224" s="177">
        <f>55+16</f>
        <v>71</v>
      </c>
      <c r="F224" s="177"/>
      <c r="G224" s="177"/>
      <c r="H224" s="158"/>
      <c r="I224" s="22"/>
      <c r="J224" s="177"/>
      <c r="K224" s="177"/>
      <c r="L224" s="177"/>
      <c r="M224" s="177"/>
      <c r="N224" s="177"/>
      <c r="O224" s="120"/>
      <c r="P224" s="96"/>
      <c r="Q224" s="97"/>
      <c r="R224" s="22"/>
      <c r="S224" s="157"/>
      <c r="T224" s="157"/>
      <c r="U224" s="157"/>
      <c r="V224" s="157"/>
      <c r="W224" s="157"/>
      <c r="X224" s="157"/>
      <c r="Y224" s="13"/>
      <c r="Z224" s="95"/>
      <c r="AA224" s="96"/>
      <c r="AB224" s="97"/>
    </row>
    <row r="225" spans="1:28" x14ac:dyDescent="0.25">
      <c r="A225" s="11" t="s">
        <v>833</v>
      </c>
      <c r="B225" s="60" t="s">
        <v>590</v>
      </c>
      <c r="C225" s="62">
        <v>2013</v>
      </c>
      <c r="D225" s="1">
        <f>Q225+G225+F225+H225+E225</f>
        <v>3</v>
      </c>
      <c r="G225" s="50">
        <f>3</f>
        <v>3</v>
      </c>
      <c r="H225" s="158"/>
      <c r="I225" s="22"/>
      <c r="O225" s="120"/>
      <c r="P225" s="96"/>
      <c r="Q225" s="97"/>
      <c r="R225" s="22"/>
      <c r="S225" s="157"/>
      <c r="T225" s="157"/>
      <c r="U225" s="157"/>
      <c r="V225" s="157"/>
      <c r="W225" s="157"/>
      <c r="X225" s="157"/>
      <c r="Y225" s="13"/>
      <c r="Z225" s="95"/>
      <c r="AA225" s="96"/>
      <c r="AB225" s="97"/>
    </row>
    <row r="226" spans="1:28" x14ac:dyDescent="0.25">
      <c r="A226" s="11" t="s">
        <v>909</v>
      </c>
      <c r="B226" s="60" t="s">
        <v>409</v>
      </c>
      <c r="C226" s="62">
        <v>2012</v>
      </c>
      <c r="D226" s="1">
        <f>Q226+G226+F226+H226+E226</f>
        <v>14</v>
      </c>
      <c r="E226" s="177">
        <f>0+14</f>
        <v>14</v>
      </c>
      <c r="F226" s="177"/>
      <c r="G226" s="177"/>
      <c r="H226" s="158"/>
      <c r="I226" s="22"/>
      <c r="J226" s="177"/>
      <c r="K226" s="177"/>
      <c r="L226" s="177"/>
      <c r="M226" s="177"/>
      <c r="N226" s="177"/>
      <c r="O226" s="120"/>
      <c r="P226" s="96"/>
      <c r="Q226" s="97"/>
      <c r="R226" s="22"/>
      <c r="S226" s="157"/>
      <c r="T226" s="157"/>
      <c r="U226" s="157"/>
      <c r="V226" s="157"/>
      <c r="W226" s="157"/>
      <c r="X226" s="157"/>
      <c r="Y226" s="13"/>
      <c r="Z226" s="95"/>
      <c r="AA226" s="96"/>
      <c r="AB226" s="97"/>
    </row>
    <row r="227" spans="1:28" x14ac:dyDescent="0.25">
      <c r="A227" s="11" t="s">
        <v>851</v>
      </c>
      <c r="B227" s="60" t="s">
        <v>482</v>
      </c>
      <c r="C227" s="62">
        <v>2014</v>
      </c>
      <c r="D227" s="1">
        <f>Q227+G227+F227+H227+E227</f>
        <v>1</v>
      </c>
      <c r="F227" s="50">
        <f>0+1</f>
        <v>1</v>
      </c>
      <c r="H227" s="158"/>
      <c r="I227" s="22"/>
      <c r="O227" s="120"/>
      <c r="P227" s="96"/>
      <c r="Q227" s="97"/>
      <c r="R227" s="22"/>
      <c r="S227" s="157"/>
      <c r="T227" s="157"/>
      <c r="U227" s="157"/>
      <c r="V227" s="157"/>
      <c r="W227" s="157"/>
      <c r="X227" s="157"/>
      <c r="Y227" s="13"/>
      <c r="Z227" s="95"/>
      <c r="AA227" s="96"/>
      <c r="AB227" s="97"/>
    </row>
    <row r="228" spans="1:28" x14ac:dyDescent="0.25">
      <c r="A228" s="11" t="s">
        <v>728</v>
      </c>
      <c r="B228" s="60" t="s">
        <v>0</v>
      </c>
      <c r="C228" s="62">
        <v>2012</v>
      </c>
      <c r="D228" s="1">
        <f>Q228+G228+F228+H228+E228</f>
        <v>108</v>
      </c>
      <c r="E228" s="177">
        <f>23+7+1</f>
        <v>31</v>
      </c>
      <c r="F228" s="50">
        <f>26+5+3</f>
        <v>34</v>
      </c>
      <c r="G228" s="50">
        <f>23+2</f>
        <v>25</v>
      </c>
      <c r="H228" s="158"/>
      <c r="I228" s="22"/>
      <c r="J228" s="50">
        <f>18</f>
        <v>18</v>
      </c>
      <c r="O228" s="120"/>
      <c r="P228" s="96">
        <f>SUM(J228:N228)</f>
        <v>18</v>
      </c>
      <c r="Q228" s="97">
        <f>IF(C228=2016, P228/3,P228)+O228</f>
        <v>18</v>
      </c>
      <c r="R228" s="22"/>
      <c r="S228" s="157"/>
      <c r="T228" s="157"/>
      <c r="U228" s="157"/>
      <c r="V228" s="157"/>
      <c r="W228" s="157"/>
      <c r="X228" s="157"/>
      <c r="Y228" s="13"/>
      <c r="Z228" s="95"/>
      <c r="AA228" s="96">
        <f>SUM(S228:Y228)</f>
        <v>0</v>
      </c>
      <c r="AB228" s="97">
        <f>IF(C228=2015, AA228/3,AA228)+Z228</f>
        <v>0</v>
      </c>
    </row>
    <row r="229" spans="1:28" x14ac:dyDescent="0.25">
      <c r="A229" s="11" t="s">
        <v>836</v>
      </c>
      <c r="B229" s="60" t="s">
        <v>64</v>
      </c>
      <c r="C229" s="62">
        <v>2012</v>
      </c>
      <c r="D229" s="1">
        <f>Q229+G229+F229+H229+E229</f>
        <v>32</v>
      </c>
      <c r="F229" s="50">
        <f>26</f>
        <v>26</v>
      </c>
      <c r="G229" s="50">
        <f>6</f>
        <v>6</v>
      </c>
      <c r="H229" s="158"/>
      <c r="I229" s="22"/>
      <c r="O229" s="120"/>
      <c r="P229" s="96"/>
      <c r="Q229" s="97"/>
      <c r="R229" s="22"/>
      <c r="S229" s="157"/>
      <c r="T229" s="157"/>
      <c r="U229" s="157"/>
      <c r="V229" s="157"/>
      <c r="W229" s="157"/>
      <c r="X229" s="157"/>
      <c r="Y229" s="13"/>
      <c r="Z229" s="95"/>
      <c r="AA229" s="96"/>
      <c r="AB229" s="97"/>
    </row>
    <row r="230" spans="1:28" x14ac:dyDescent="0.25">
      <c r="A230" s="11" t="s">
        <v>863</v>
      </c>
      <c r="B230" s="60" t="s">
        <v>7</v>
      </c>
      <c r="C230" s="62">
        <v>2015</v>
      </c>
      <c r="D230" s="1">
        <f>Q230+G230+F230+H230+E230</f>
        <v>43</v>
      </c>
      <c r="E230" s="177">
        <f>43</f>
        <v>43</v>
      </c>
      <c r="F230" s="50">
        <f>0</f>
        <v>0</v>
      </c>
      <c r="H230" s="158"/>
      <c r="I230" s="22"/>
      <c r="O230" s="120"/>
      <c r="P230" s="96"/>
      <c r="Q230" s="97"/>
      <c r="R230" s="22"/>
      <c r="S230" s="157"/>
      <c r="T230" s="157"/>
      <c r="U230" s="157"/>
      <c r="V230" s="157"/>
      <c r="W230" s="157"/>
      <c r="X230" s="157"/>
      <c r="Y230" s="13"/>
      <c r="Z230" s="95"/>
      <c r="AA230" s="96"/>
      <c r="AB230" s="97"/>
    </row>
    <row r="231" spans="1:28" x14ac:dyDescent="0.25">
      <c r="A231" s="11" t="s">
        <v>906</v>
      </c>
      <c r="B231" s="60" t="s">
        <v>409</v>
      </c>
      <c r="C231" s="62">
        <v>2012</v>
      </c>
      <c r="D231" s="1">
        <f>Q231+G231+F231+H231+E231</f>
        <v>0</v>
      </c>
      <c r="E231" s="177">
        <f>0</f>
        <v>0</v>
      </c>
      <c r="F231" s="177"/>
      <c r="G231" s="177"/>
      <c r="H231" s="158"/>
      <c r="I231" s="22"/>
      <c r="J231" s="177"/>
      <c r="K231" s="177"/>
      <c r="L231" s="177"/>
      <c r="M231" s="177"/>
      <c r="N231" s="177"/>
      <c r="O231" s="120"/>
      <c r="P231" s="96"/>
      <c r="Q231" s="97"/>
      <c r="R231" s="22"/>
      <c r="S231" s="157"/>
      <c r="T231" s="157"/>
      <c r="U231" s="157"/>
      <c r="V231" s="157"/>
      <c r="W231" s="157"/>
      <c r="X231" s="157"/>
      <c r="Y231" s="13"/>
      <c r="Z231" s="95"/>
      <c r="AA231" s="96"/>
      <c r="AB231" s="97"/>
    </row>
    <row r="232" spans="1:28" x14ac:dyDescent="0.25">
      <c r="A232" s="11" t="s">
        <v>725</v>
      </c>
      <c r="B232" s="60" t="s">
        <v>0</v>
      </c>
      <c r="C232" s="62">
        <v>2014</v>
      </c>
      <c r="D232" s="1">
        <f>Q232+G232+F232+H232+E232</f>
        <v>202</v>
      </c>
      <c r="E232" s="177">
        <f>54+18+1+9</f>
        <v>82</v>
      </c>
      <c r="F232" s="50">
        <f>40+9+3+9</f>
        <v>61</v>
      </c>
      <c r="G232" s="50">
        <f>31+4</f>
        <v>35</v>
      </c>
      <c r="H232" s="158"/>
      <c r="I232" s="22"/>
      <c r="J232" s="50">
        <f>24</f>
        <v>24</v>
      </c>
      <c r="O232" s="120"/>
      <c r="P232" s="96">
        <f>SUM(J232:N232)</f>
        <v>24</v>
      </c>
      <c r="Q232" s="97">
        <f>IF(C232=2016, P232/3,P232)+O232</f>
        <v>24</v>
      </c>
      <c r="R232" s="22"/>
      <c r="S232" s="157"/>
      <c r="T232" s="157"/>
      <c r="U232" s="157"/>
      <c r="V232" s="157"/>
      <c r="W232" s="157"/>
      <c r="X232" s="157"/>
      <c r="Y232" s="13"/>
      <c r="Z232" s="95"/>
      <c r="AA232" s="96">
        <f>SUM(S232:Y232)</f>
        <v>0</v>
      </c>
      <c r="AB232" s="97">
        <f>IF(C232=2015, AA232/3,AA232)+Z232</f>
        <v>0</v>
      </c>
    </row>
    <row r="233" spans="1:28" x14ac:dyDescent="0.25">
      <c r="A233" s="11" t="s">
        <v>842</v>
      </c>
      <c r="B233" s="60" t="s">
        <v>482</v>
      </c>
      <c r="C233" s="62">
        <v>2015</v>
      </c>
      <c r="D233" s="1">
        <f>Q233+G233+F233+H233+E233</f>
        <v>19</v>
      </c>
      <c r="F233" s="50">
        <f>18+1</f>
        <v>19</v>
      </c>
      <c r="H233" s="158"/>
      <c r="I233" s="22"/>
      <c r="O233" s="120"/>
      <c r="P233" s="96"/>
      <c r="Q233" s="97"/>
      <c r="R233" s="22"/>
      <c r="S233" s="157"/>
      <c r="T233" s="157"/>
      <c r="U233" s="157"/>
      <c r="V233" s="157"/>
      <c r="W233" s="157"/>
      <c r="X233" s="157"/>
      <c r="Y233" s="13"/>
      <c r="Z233" s="95"/>
      <c r="AA233" s="96"/>
      <c r="AB233" s="97"/>
    </row>
    <row r="234" spans="1:28" x14ac:dyDescent="0.25">
      <c r="A234" s="11" t="s">
        <v>737</v>
      </c>
      <c r="B234" s="11" t="s">
        <v>63</v>
      </c>
      <c r="C234" s="3">
        <v>2013</v>
      </c>
      <c r="D234" s="1">
        <f>Q234+G234+F234+H234+E234</f>
        <v>120</v>
      </c>
      <c r="E234" s="160">
        <f>40+10</f>
        <v>50</v>
      </c>
      <c r="F234" s="160">
        <f>34+6+1</f>
        <v>41</v>
      </c>
      <c r="G234" s="160">
        <f>23</f>
        <v>23</v>
      </c>
      <c r="H234" s="158"/>
      <c r="I234" s="101"/>
      <c r="J234" s="50">
        <f>6</f>
        <v>6</v>
      </c>
      <c r="O234" s="120"/>
      <c r="P234" s="96">
        <f>SUM(J234:N234)</f>
        <v>6</v>
      </c>
      <c r="Q234" s="97">
        <f>IF(C234=2016, P234/3,P234)+O234</f>
        <v>6</v>
      </c>
      <c r="R234" s="101"/>
      <c r="S234" s="157"/>
      <c r="T234" s="157"/>
      <c r="U234" s="157"/>
      <c r="V234" s="157"/>
      <c r="W234" s="157"/>
      <c r="X234" s="157"/>
      <c r="Y234" s="157"/>
      <c r="Z234" s="95"/>
      <c r="AA234" s="96">
        <f>SUM(S234:Y234)</f>
        <v>0</v>
      </c>
      <c r="AB234" s="97">
        <f>IF(C234=2015, AA234/3,AA234)+Z234</f>
        <v>0</v>
      </c>
    </row>
    <row r="235" spans="1:28" x14ac:dyDescent="0.25">
      <c r="A235" s="11" t="s">
        <v>770</v>
      </c>
      <c r="B235" s="11" t="s">
        <v>298</v>
      </c>
      <c r="C235" s="3">
        <v>2012</v>
      </c>
      <c r="D235" s="1">
        <f>Q235+G235+F235+H235+E235</f>
        <v>1</v>
      </c>
      <c r="E235" s="160"/>
      <c r="F235" s="160"/>
      <c r="G235" s="160">
        <f>0</f>
        <v>0</v>
      </c>
      <c r="H235" s="158">
        <f>1</f>
        <v>1</v>
      </c>
      <c r="I235" s="101"/>
      <c r="O235" s="120"/>
      <c r="P235" s="96"/>
      <c r="Q235" s="97"/>
      <c r="R235" s="101"/>
      <c r="S235" s="157"/>
      <c r="T235" s="157"/>
      <c r="U235" s="157"/>
      <c r="V235" s="157"/>
      <c r="W235" s="157"/>
      <c r="X235" s="157"/>
      <c r="Y235" s="157"/>
      <c r="Z235" s="95"/>
      <c r="AA235" s="96"/>
      <c r="AB235" s="97"/>
    </row>
    <row r="236" spans="1:28" x14ac:dyDescent="0.25">
      <c r="A236" s="11" t="s">
        <v>828</v>
      </c>
      <c r="B236" s="11" t="s">
        <v>590</v>
      </c>
      <c r="C236" s="3">
        <v>2014</v>
      </c>
      <c r="D236" s="1">
        <f>Q236+G236+F236+H236+E236</f>
        <v>3</v>
      </c>
      <c r="E236" s="160"/>
      <c r="F236" s="160"/>
      <c r="G236" s="160">
        <f>3</f>
        <v>3</v>
      </c>
      <c r="H236" s="158"/>
      <c r="I236" s="101"/>
      <c r="O236" s="120"/>
      <c r="P236" s="96"/>
      <c r="Q236" s="97"/>
      <c r="R236" s="101"/>
      <c r="S236" s="157"/>
      <c r="T236" s="157"/>
      <c r="U236" s="157"/>
      <c r="V236" s="157"/>
      <c r="W236" s="157"/>
      <c r="X236" s="157"/>
      <c r="Y236" s="157"/>
      <c r="Z236" s="95"/>
      <c r="AA236" s="96"/>
      <c r="AB236" s="97"/>
    </row>
    <row r="237" spans="1:28" x14ac:dyDescent="0.25">
      <c r="A237" s="11" t="s">
        <v>726</v>
      </c>
      <c r="B237" s="11" t="s">
        <v>63</v>
      </c>
      <c r="C237" s="3">
        <v>2013</v>
      </c>
      <c r="D237" s="1">
        <f>Q237+G237+F237+H237+E237</f>
        <v>138</v>
      </c>
      <c r="E237" s="160">
        <f>53+2+3+3</f>
        <v>61</v>
      </c>
      <c r="F237" s="160">
        <f>0+4+12+6</f>
        <v>22</v>
      </c>
      <c r="G237" s="160">
        <f>30+2</f>
        <v>32</v>
      </c>
      <c r="H237" s="158"/>
      <c r="I237" s="101"/>
      <c r="J237" s="50">
        <f>23</f>
        <v>23</v>
      </c>
      <c r="O237" s="120"/>
      <c r="P237" s="96">
        <f>SUM(J237:N237)</f>
        <v>23</v>
      </c>
      <c r="Q237" s="97">
        <f>IF(C237=2016, P237/3,P237)+O237</f>
        <v>23</v>
      </c>
      <c r="R237" s="101"/>
      <c r="S237" s="157"/>
      <c r="T237" s="157"/>
      <c r="U237" s="157"/>
      <c r="V237" s="157"/>
      <c r="W237" s="157"/>
      <c r="X237" s="157"/>
      <c r="Y237" s="157"/>
      <c r="Z237" s="95"/>
      <c r="AA237" s="96">
        <f>SUM(S237:Y237)</f>
        <v>0</v>
      </c>
      <c r="AB237" s="97">
        <f>IF(C237=2015, AA237/3,AA237)+Z237</f>
        <v>0</v>
      </c>
    </row>
    <row r="238" spans="1:28" x14ac:dyDescent="0.25">
      <c r="A238" s="11" t="s">
        <v>461</v>
      </c>
      <c r="B238" s="11" t="s">
        <v>7</v>
      </c>
      <c r="C238" s="3">
        <v>2012</v>
      </c>
      <c r="D238" s="1">
        <f>Q238+G238+F238+H238+E238</f>
        <v>50</v>
      </c>
      <c r="E238" s="160"/>
      <c r="F238" s="160">
        <f>50</f>
        <v>50</v>
      </c>
      <c r="G238" s="160"/>
      <c r="H238" s="158"/>
      <c r="I238" s="101"/>
      <c r="O238" s="120"/>
      <c r="P238" s="96"/>
      <c r="Q238" s="97"/>
      <c r="R238" s="101"/>
      <c r="S238" s="157"/>
      <c r="T238" s="157"/>
      <c r="U238" s="157"/>
      <c r="V238" s="157"/>
      <c r="W238" s="157"/>
      <c r="X238" s="157"/>
      <c r="Y238" s="157"/>
      <c r="Z238" s="95"/>
      <c r="AA238" s="96"/>
      <c r="AB238" s="97"/>
    </row>
    <row r="239" spans="1:28" x14ac:dyDescent="0.25">
      <c r="A239" s="11" t="s">
        <v>460</v>
      </c>
      <c r="B239" s="11" t="s">
        <v>7</v>
      </c>
      <c r="C239" s="3">
        <v>2014</v>
      </c>
      <c r="D239" s="1">
        <f>Q239+G239+F239+H239+E239</f>
        <v>0</v>
      </c>
      <c r="E239" s="160"/>
      <c r="F239" s="160">
        <f>0</f>
        <v>0</v>
      </c>
      <c r="G239" s="160"/>
      <c r="H239" s="158"/>
      <c r="I239" s="101"/>
      <c r="O239" s="120"/>
      <c r="P239" s="96"/>
      <c r="Q239" s="97"/>
      <c r="R239" s="101"/>
      <c r="S239" s="157"/>
      <c r="T239" s="157"/>
      <c r="U239" s="157"/>
      <c r="V239" s="157"/>
      <c r="W239" s="157"/>
      <c r="X239" s="157"/>
      <c r="Y239" s="157"/>
      <c r="Z239" s="95"/>
      <c r="AA239" s="96"/>
      <c r="AB239" s="97"/>
    </row>
    <row r="240" spans="1:28" x14ac:dyDescent="0.25">
      <c r="A240" s="11" t="s">
        <v>730</v>
      </c>
      <c r="B240" s="60" t="s">
        <v>0</v>
      </c>
      <c r="C240" s="62">
        <v>2013</v>
      </c>
      <c r="D240" s="1">
        <f>Q240+G240+F240+H240+E240</f>
        <v>116</v>
      </c>
      <c r="E240" s="177">
        <f>23+7+1</f>
        <v>31</v>
      </c>
      <c r="F240" s="50">
        <f>31+5+3</f>
        <v>39</v>
      </c>
      <c r="G240" s="50">
        <f>29+2</f>
        <v>31</v>
      </c>
      <c r="H240" s="158"/>
      <c r="I240" s="22"/>
      <c r="J240" s="50">
        <f>15</f>
        <v>15</v>
      </c>
      <c r="O240" s="120"/>
      <c r="P240" s="96">
        <f>SUM(J240:N240)</f>
        <v>15</v>
      </c>
      <c r="Q240" s="97">
        <f>IF(C240=2016, P240/3,P240)+O240</f>
        <v>15</v>
      </c>
      <c r="R240" s="22"/>
      <c r="S240" s="157"/>
      <c r="T240" s="157"/>
      <c r="U240" s="157"/>
      <c r="V240" s="157"/>
      <c r="W240" s="157"/>
      <c r="X240" s="157"/>
      <c r="Y240" s="13"/>
      <c r="Z240" s="95"/>
      <c r="AA240" s="96">
        <f>SUM(S240:Y240)</f>
        <v>0</v>
      </c>
      <c r="AB240" s="97">
        <f>IF(C240=2015, AA240/3,AA240)+Z240</f>
        <v>0</v>
      </c>
    </row>
    <row r="241" spans="1:28" x14ac:dyDescent="0.25">
      <c r="A241" s="11" t="s">
        <v>898</v>
      </c>
      <c r="B241" s="60" t="s">
        <v>0</v>
      </c>
      <c r="C241" s="62">
        <v>2016</v>
      </c>
      <c r="D241" s="1">
        <f>Q241+G241+F241+H241+E241</f>
        <v>38</v>
      </c>
      <c r="E241" s="177">
        <f>23+15</f>
        <v>38</v>
      </c>
      <c r="F241" s="177"/>
      <c r="G241" s="177"/>
      <c r="H241" s="158"/>
      <c r="I241" s="22"/>
      <c r="J241" s="177"/>
      <c r="K241" s="177"/>
      <c r="L241" s="177"/>
      <c r="M241" s="177"/>
      <c r="N241" s="177"/>
      <c r="O241" s="120"/>
      <c r="P241" s="96"/>
      <c r="Q241" s="97"/>
      <c r="R241" s="22"/>
      <c r="S241" s="157"/>
      <c r="T241" s="157"/>
      <c r="U241" s="157"/>
      <c r="V241" s="157"/>
      <c r="W241" s="157"/>
      <c r="X241" s="157"/>
      <c r="Y241" s="13"/>
      <c r="Z241" s="95"/>
      <c r="AA241" s="96"/>
      <c r="AB241" s="97"/>
    </row>
    <row r="242" spans="1:28" x14ac:dyDescent="0.25">
      <c r="A242" s="11" t="s">
        <v>902</v>
      </c>
      <c r="B242" s="60" t="s">
        <v>63</v>
      </c>
      <c r="C242" s="62">
        <v>2013</v>
      </c>
      <c r="D242" s="1">
        <f>Q242+G242+F242+H242+E242</f>
        <v>23</v>
      </c>
      <c r="E242" s="177">
        <f>23</f>
        <v>23</v>
      </c>
      <c r="F242" s="177"/>
      <c r="G242" s="177"/>
      <c r="H242" s="158"/>
      <c r="I242" s="22"/>
      <c r="J242" s="177"/>
      <c r="K242" s="177"/>
      <c r="L242" s="177"/>
      <c r="M242" s="177"/>
      <c r="N242" s="177"/>
      <c r="O242" s="120"/>
      <c r="P242" s="96"/>
      <c r="Q242" s="97"/>
      <c r="R242" s="22"/>
      <c r="S242" s="157"/>
      <c r="T242" s="157"/>
      <c r="U242" s="157"/>
      <c r="V242" s="157"/>
      <c r="W242" s="157"/>
      <c r="X242" s="157"/>
      <c r="Y242" s="13"/>
      <c r="Z242" s="95"/>
      <c r="AA242" s="96"/>
      <c r="AB242" s="97"/>
    </row>
    <row r="243" spans="1:28" x14ac:dyDescent="0.25">
      <c r="A243" s="45" t="s">
        <v>742</v>
      </c>
      <c r="B243" s="66" t="s">
        <v>63</v>
      </c>
      <c r="C243" s="46">
        <v>2014</v>
      </c>
      <c r="D243" s="1">
        <f>Q243+G243+F243+H243+E243</f>
        <v>0</v>
      </c>
      <c r="E243" s="160"/>
      <c r="F243" s="160"/>
      <c r="G243" s="160"/>
      <c r="H243" s="158"/>
      <c r="I243" s="101"/>
      <c r="J243" s="50">
        <f>0</f>
        <v>0</v>
      </c>
      <c r="O243" s="120"/>
      <c r="P243" s="96">
        <f>SUM(J243:N243)</f>
        <v>0</v>
      </c>
      <c r="Q243" s="97">
        <f>IF(C243=2016, P243/3,P243)+O243</f>
        <v>0</v>
      </c>
      <c r="R243" s="101"/>
      <c r="S243" s="157"/>
      <c r="T243" s="157"/>
      <c r="U243" s="157"/>
      <c r="V243" s="157"/>
      <c r="W243" s="157"/>
      <c r="X243" s="157"/>
      <c r="Y243" s="13"/>
      <c r="Z243" s="95"/>
      <c r="AA243" s="96">
        <f>SUM(S243:Y243)</f>
        <v>0</v>
      </c>
      <c r="AB243" s="97">
        <f>IF(C243=2015, AA243/3,AA243)+Z243</f>
        <v>0</v>
      </c>
    </row>
    <row r="244" spans="1:28" x14ac:dyDescent="0.25">
      <c r="A244" s="45" t="s">
        <v>875</v>
      </c>
      <c r="B244" s="66" t="s">
        <v>482</v>
      </c>
      <c r="C244" s="46">
        <v>2015</v>
      </c>
      <c r="D244" s="1">
        <f>Q244+G244+F244+H244+E244</f>
        <v>3</v>
      </c>
      <c r="E244" s="160"/>
      <c r="F244" s="160">
        <f>2+1</f>
        <v>3</v>
      </c>
      <c r="G244" s="160"/>
      <c r="H244" s="158"/>
      <c r="I244" s="101"/>
      <c r="J244" s="173"/>
      <c r="K244" s="173"/>
      <c r="L244" s="173"/>
      <c r="M244" s="173"/>
      <c r="N244" s="173"/>
      <c r="O244" s="120"/>
      <c r="P244" s="96"/>
      <c r="Q244" s="97"/>
      <c r="R244" s="101"/>
      <c r="S244" s="157"/>
      <c r="T244" s="157"/>
      <c r="U244" s="157"/>
      <c r="V244" s="157"/>
      <c r="W244" s="157"/>
      <c r="X244" s="157"/>
      <c r="Y244" s="13"/>
      <c r="Z244" s="95"/>
      <c r="AA244" s="96"/>
      <c r="AB244" s="97"/>
    </row>
    <row r="245" spans="1:28" x14ac:dyDescent="0.25">
      <c r="A245" s="45" t="s">
        <v>775</v>
      </c>
      <c r="B245" s="66" t="s">
        <v>63</v>
      </c>
      <c r="C245" s="46">
        <v>2016</v>
      </c>
      <c r="D245" s="1">
        <f>Q245+G245+F245+H245+E245</f>
        <v>64</v>
      </c>
      <c r="E245" s="160">
        <f>23+7</f>
        <v>30</v>
      </c>
      <c r="F245" s="160">
        <f>18</f>
        <v>18</v>
      </c>
      <c r="G245" s="160">
        <f>16</f>
        <v>16</v>
      </c>
      <c r="H245" s="158"/>
      <c r="I245" s="101"/>
      <c r="O245" s="120"/>
      <c r="P245" s="96"/>
      <c r="Q245" s="97"/>
      <c r="R245" s="101"/>
      <c r="S245" s="157"/>
      <c r="T245" s="157"/>
      <c r="U245" s="157"/>
      <c r="V245" s="157"/>
      <c r="W245" s="157"/>
      <c r="X245" s="157"/>
      <c r="Y245" s="13"/>
      <c r="Z245" s="95"/>
      <c r="AA245" s="96"/>
      <c r="AB245" s="97"/>
    </row>
    <row r="246" spans="1:28" x14ac:dyDescent="0.25">
      <c r="A246" s="45" t="s">
        <v>880</v>
      </c>
      <c r="B246" s="66" t="s">
        <v>482</v>
      </c>
      <c r="C246" s="46">
        <v>2015</v>
      </c>
      <c r="D246" s="1">
        <f>Q246+G246+F246+H246+E246</f>
        <v>1</v>
      </c>
      <c r="E246" s="160"/>
      <c r="F246" s="160">
        <f>1</f>
        <v>1</v>
      </c>
      <c r="G246" s="160"/>
      <c r="H246" s="158"/>
      <c r="I246" s="101"/>
      <c r="J246" s="173"/>
      <c r="K246" s="173"/>
      <c r="L246" s="173"/>
      <c r="M246" s="173"/>
      <c r="N246" s="173"/>
      <c r="O246" s="120"/>
      <c r="P246" s="96"/>
      <c r="Q246" s="97"/>
      <c r="R246" s="101"/>
      <c r="S246" s="157"/>
      <c r="T246" s="157"/>
      <c r="U246" s="157"/>
      <c r="V246" s="157"/>
      <c r="W246" s="157"/>
      <c r="X246" s="157"/>
      <c r="Y246" s="13"/>
      <c r="Z246" s="95"/>
      <c r="AA246" s="96"/>
      <c r="AB246" s="97"/>
    </row>
    <row r="247" spans="1:28" x14ac:dyDescent="0.25">
      <c r="A247" s="45" t="s">
        <v>901</v>
      </c>
      <c r="B247" s="66" t="s">
        <v>409</v>
      </c>
      <c r="C247" s="46">
        <v>2014</v>
      </c>
      <c r="D247" s="1">
        <f>Q247+G247+F247+H247+E247</f>
        <v>23</v>
      </c>
      <c r="E247" s="160">
        <f>23</f>
        <v>23</v>
      </c>
      <c r="F247" s="160"/>
      <c r="G247" s="160"/>
      <c r="H247" s="158"/>
      <c r="I247" s="101"/>
      <c r="J247" s="177"/>
      <c r="K247" s="177"/>
      <c r="L247" s="177"/>
      <c r="M247" s="177"/>
      <c r="N247" s="177"/>
      <c r="O247" s="120"/>
      <c r="P247" s="96"/>
      <c r="Q247" s="97"/>
      <c r="R247" s="101"/>
      <c r="S247" s="157"/>
      <c r="T247" s="157"/>
      <c r="U247" s="157"/>
      <c r="V247" s="157"/>
      <c r="W247" s="157"/>
      <c r="X247" s="157"/>
      <c r="Y247" s="13"/>
      <c r="Z247" s="95"/>
      <c r="AA247" s="96"/>
      <c r="AB247" s="97"/>
    </row>
    <row r="248" spans="1:28" x14ac:dyDescent="0.25">
      <c r="A248" s="45" t="s">
        <v>877</v>
      </c>
      <c r="B248" s="66" t="s">
        <v>482</v>
      </c>
      <c r="C248" s="46">
        <v>2014</v>
      </c>
      <c r="D248" s="1">
        <f>Q248+G248+F248+H248+E248</f>
        <v>3</v>
      </c>
      <c r="E248" s="160"/>
      <c r="F248" s="160">
        <f>2+1</f>
        <v>3</v>
      </c>
      <c r="G248" s="160"/>
      <c r="H248" s="158"/>
      <c r="I248" s="101"/>
      <c r="J248" s="173"/>
      <c r="K248" s="173"/>
      <c r="L248" s="173"/>
      <c r="M248" s="173"/>
      <c r="N248" s="173"/>
      <c r="O248" s="120"/>
      <c r="P248" s="96"/>
      <c r="Q248" s="97"/>
      <c r="R248" s="101"/>
      <c r="S248" s="157"/>
      <c r="T248" s="157"/>
      <c r="U248" s="157"/>
      <c r="V248" s="157"/>
      <c r="W248" s="157"/>
      <c r="X248" s="157"/>
      <c r="Y248" s="13"/>
      <c r="Z248" s="95"/>
      <c r="AA248" s="96"/>
      <c r="AB248" s="97"/>
    </row>
    <row r="249" spans="1:28" x14ac:dyDescent="0.25">
      <c r="A249" s="45" t="s">
        <v>895</v>
      </c>
      <c r="B249" s="66" t="s">
        <v>6</v>
      </c>
      <c r="C249" s="46">
        <v>2015</v>
      </c>
      <c r="D249" s="1">
        <f>Q249+G249+F249+H249+E249</f>
        <v>43</v>
      </c>
      <c r="E249" s="160">
        <f>43</f>
        <v>43</v>
      </c>
      <c r="F249" s="160"/>
      <c r="G249" s="160"/>
      <c r="H249" s="158"/>
      <c r="I249" s="101"/>
      <c r="J249" s="177"/>
      <c r="K249" s="177"/>
      <c r="L249" s="177"/>
      <c r="M249" s="177"/>
      <c r="N249" s="177"/>
      <c r="O249" s="120"/>
      <c r="P249" s="96"/>
      <c r="Q249" s="97"/>
      <c r="R249" s="101"/>
      <c r="S249" s="157"/>
      <c r="T249" s="157"/>
      <c r="U249" s="157"/>
      <c r="V249" s="157"/>
      <c r="W249" s="157"/>
      <c r="X249" s="157"/>
      <c r="Y249" s="13"/>
      <c r="Z249" s="95"/>
      <c r="AA249" s="96"/>
      <c r="AB249" s="97"/>
    </row>
    <row r="250" spans="1:28" x14ac:dyDescent="0.25">
      <c r="A250" s="11" t="s">
        <v>745</v>
      </c>
      <c r="B250" s="11" t="s">
        <v>63</v>
      </c>
      <c r="C250" s="3">
        <v>2014</v>
      </c>
      <c r="D250" s="1">
        <f>Q250+G250+F250+H250+E250</f>
        <v>39</v>
      </c>
      <c r="F250" s="50">
        <f>23</f>
        <v>23</v>
      </c>
      <c r="G250" s="50">
        <f>16</f>
        <v>16</v>
      </c>
      <c r="H250" s="158"/>
      <c r="I250" s="22"/>
      <c r="J250" s="50">
        <f>0</f>
        <v>0</v>
      </c>
      <c r="O250" s="120"/>
      <c r="P250" s="96">
        <f>SUM(J250:N250)</f>
        <v>0</v>
      </c>
      <c r="Q250" s="97">
        <f>IF(C250=2016, P250/3,P250)+O250</f>
        <v>0</v>
      </c>
      <c r="R250" s="22"/>
      <c r="Z250" s="95"/>
      <c r="AA250" s="96">
        <f>SUM(S250:Y250)</f>
        <v>0</v>
      </c>
      <c r="AB250" s="97">
        <f>IF(C250=2015, AA250/3,AA250)+Z250</f>
        <v>0</v>
      </c>
    </row>
    <row r="251" spans="1:28" x14ac:dyDescent="0.25">
      <c r="A251" s="11" t="s">
        <v>777</v>
      </c>
      <c r="B251" s="11" t="s">
        <v>64</v>
      </c>
      <c r="C251" s="3">
        <v>2013</v>
      </c>
      <c r="D251" s="1">
        <f>Q251+G251+F251+H251+E251</f>
        <v>17</v>
      </c>
      <c r="E251" s="177">
        <f>6</f>
        <v>6</v>
      </c>
      <c r="F251" s="50">
        <f>0</f>
        <v>0</v>
      </c>
      <c r="G251" s="50">
        <f>11</f>
        <v>11</v>
      </c>
      <c r="H251" s="158"/>
      <c r="I251" s="22"/>
      <c r="O251" s="120"/>
      <c r="P251" s="96"/>
      <c r="Q251" s="97"/>
      <c r="R251" s="22"/>
      <c r="Z251" s="95"/>
      <c r="AA251" s="96"/>
      <c r="AB251" s="97"/>
    </row>
    <row r="252" spans="1:28" x14ac:dyDescent="0.25">
      <c r="A252" s="11" t="s">
        <v>824</v>
      </c>
      <c r="B252" s="11" t="s">
        <v>590</v>
      </c>
      <c r="C252" s="3">
        <v>2013</v>
      </c>
      <c r="D252" s="1">
        <f>Q252+G252+F252+H252+E252</f>
        <v>3</v>
      </c>
      <c r="G252" s="50">
        <f>3</f>
        <v>3</v>
      </c>
      <c r="H252" s="158"/>
      <c r="I252" s="22"/>
      <c r="O252" s="120"/>
      <c r="P252" s="96"/>
      <c r="Q252" s="97"/>
      <c r="R252" s="22"/>
      <c r="Z252" s="95"/>
      <c r="AA252" s="96"/>
      <c r="AB252" s="97"/>
    </row>
    <row r="253" spans="1:28" x14ac:dyDescent="0.25">
      <c r="A253" s="11" t="s">
        <v>882</v>
      </c>
      <c r="B253" s="11" t="s">
        <v>482</v>
      </c>
      <c r="C253" s="3">
        <v>2016</v>
      </c>
      <c r="D253" s="1">
        <f>Q253+G253+F253+H253+E253</f>
        <v>1</v>
      </c>
      <c r="F253" s="173">
        <f>1</f>
        <v>1</v>
      </c>
      <c r="G253" s="173"/>
      <c r="H253" s="158"/>
      <c r="I253" s="22"/>
      <c r="J253" s="173"/>
      <c r="K253" s="173"/>
      <c r="L253" s="173"/>
      <c r="M253" s="173"/>
      <c r="N253" s="173"/>
      <c r="O253" s="120"/>
      <c r="P253" s="96"/>
      <c r="Q253" s="97"/>
      <c r="R253" s="22"/>
      <c r="S253" s="173"/>
      <c r="T253" s="173"/>
      <c r="U253" s="173"/>
      <c r="V253" s="173"/>
      <c r="W253" s="173"/>
      <c r="X253" s="173"/>
      <c r="Z253" s="95"/>
      <c r="AA253" s="96"/>
      <c r="AB253" s="97"/>
    </row>
    <row r="254" spans="1:28" x14ac:dyDescent="0.25">
      <c r="A254" s="11" t="s">
        <v>884</v>
      </c>
      <c r="B254" s="11" t="s">
        <v>482</v>
      </c>
      <c r="C254" s="3">
        <v>2014</v>
      </c>
      <c r="D254" s="1">
        <f>Q254+G254+F254+H254+E254</f>
        <v>1</v>
      </c>
      <c r="F254" s="173">
        <f>1</f>
        <v>1</v>
      </c>
      <c r="G254" s="173"/>
      <c r="H254" s="158"/>
      <c r="I254" s="22"/>
      <c r="J254" s="173"/>
      <c r="K254" s="173"/>
      <c r="L254" s="173"/>
      <c r="M254" s="173"/>
      <c r="N254" s="173"/>
      <c r="O254" s="120"/>
      <c r="P254" s="96"/>
      <c r="Q254" s="97"/>
      <c r="R254" s="22"/>
      <c r="S254" s="173"/>
      <c r="T254" s="173"/>
      <c r="U254" s="173"/>
      <c r="V254" s="173"/>
      <c r="W254" s="173"/>
      <c r="X254" s="173"/>
      <c r="Z254" s="95"/>
      <c r="AA254" s="96"/>
      <c r="AB254" s="97"/>
    </row>
    <row r="255" spans="1:28" x14ac:dyDescent="0.25">
      <c r="A255" s="11" t="s">
        <v>879</v>
      </c>
      <c r="B255" s="11" t="s">
        <v>482</v>
      </c>
      <c r="C255" s="3">
        <v>2016</v>
      </c>
      <c r="D255" s="1">
        <f>Q255+G255+F255+H255+E255</f>
        <v>1</v>
      </c>
      <c r="F255" s="173">
        <f>1</f>
        <v>1</v>
      </c>
      <c r="G255" s="173"/>
      <c r="H255" s="158"/>
      <c r="I255" s="22"/>
      <c r="J255" s="173"/>
      <c r="K255" s="173"/>
      <c r="L255" s="173"/>
      <c r="M255" s="173"/>
      <c r="N255" s="173"/>
      <c r="O255" s="120"/>
      <c r="P255" s="96"/>
      <c r="Q255" s="97"/>
      <c r="R255" s="22"/>
      <c r="S255" s="173"/>
      <c r="T255" s="173"/>
      <c r="U255" s="173"/>
      <c r="V255" s="173"/>
      <c r="W255" s="173"/>
      <c r="X255" s="173"/>
      <c r="Z255" s="95"/>
      <c r="AA255" s="96"/>
      <c r="AB255" s="97"/>
    </row>
    <row r="256" spans="1:28" x14ac:dyDescent="0.25">
      <c r="A256" s="11" t="s">
        <v>907</v>
      </c>
      <c r="B256" s="11" t="s">
        <v>409</v>
      </c>
      <c r="C256" s="3">
        <v>2013</v>
      </c>
      <c r="D256" s="1">
        <f>Q256+G256+F256+H256+E256</f>
        <v>17</v>
      </c>
      <c r="E256" s="177">
        <f>0+17</f>
        <v>17</v>
      </c>
      <c r="F256" s="177"/>
      <c r="G256" s="177"/>
      <c r="H256" s="158"/>
      <c r="I256" s="22"/>
      <c r="J256" s="177"/>
      <c r="K256" s="177"/>
      <c r="L256" s="177"/>
      <c r="M256" s="177"/>
      <c r="N256" s="177"/>
      <c r="O256" s="120"/>
      <c r="P256" s="96"/>
      <c r="Q256" s="97"/>
      <c r="R256" s="22"/>
      <c r="S256" s="177"/>
      <c r="T256" s="177"/>
      <c r="U256" s="177"/>
      <c r="V256" s="177"/>
      <c r="W256" s="177"/>
      <c r="X256" s="177"/>
      <c r="Z256" s="95"/>
      <c r="AA256" s="96"/>
      <c r="AB256" s="97"/>
    </row>
    <row r="257" spans="1:28" x14ac:dyDescent="0.25">
      <c r="A257" s="11" t="s">
        <v>883</v>
      </c>
      <c r="B257" s="11" t="s">
        <v>482</v>
      </c>
      <c r="C257" s="3">
        <v>2014</v>
      </c>
      <c r="D257" s="1">
        <f>Q257+G257+F257+H257+E257</f>
        <v>1</v>
      </c>
      <c r="F257" s="173">
        <f>1</f>
        <v>1</v>
      </c>
      <c r="G257" s="173"/>
      <c r="H257" s="158"/>
      <c r="I257" s="22"/>
      <c r="J257" s="173"/>
      <c r="K257" s="173"/>
      <c r="L257" s="173"/>
      <c r="M257" s="173"/>
      <c r="N257" s="173"/>
      <c r="O257" s="120"/>
      <c r="P257" s="96"/>
      <c r="Q257" s="97"/>
      <c r="R257" s="22"/>
      <c r="S257" s="173"/>
      <c r="T257" s="173"/>
      <c r="U257" s="173"/>
      <c r="V257" s="173"/>
      <c r="W257" s="173"/>
      <c r="X257" s="173"/>
      <c r="Z257" s="95"/>
      <c r="AA257" s="96"/>
      <c r="AB257" s="97"/>
    </row>
    <row r="258" spans="1:28" x14ac:dyDescent="0.25">
      <c r="A258" s="11" t="s">
        <v>854</v>
      </c>
      <c r="B258" s="11" t="s">
        <v>848</v>
      </c>
      <c r="C258" s="3">
        <v>2014</v>
      </c>
      <c r="D258" s="1">
        <f>Q258+G258+F258+H258+E258</f>
        <v>6</v>
      </c>
      <c r="E258" s="177">
        <f>6</f>
        <v>6</v>
      </c>
      <c r="F258" s="50">
        <f>0</f>
        <v>0</v>
      </c>
      <c r="H258" s="158"/>
      <c r="I258" s="22"/>
      <c r="O258" s="120"/>
      <c r="P258" s="96"/>
      <c r="Q258" s="97"/>
      <c r="R258" s="22"/>
      <c r="Z258" s="95"/>
      <c r="AA258" s="96"/>
      <c r="AB258" s="97"/>
    </row>
    <row r="259" spans="1:28" x14ac:dyDescent="0.25">
      <c r="A259" s="71" t="s">
        <v>773</v>
      </c>
      <c r="B259" s="71" t="s">
        <v>63</v>
      </c>
      <c r="C259" s="72">
        <v>2014</v>
      </c>
      <c r="D259" s="1">
        <f>Q259+G259+F259+H259+E259</f>
        <v>45</v>
      </c>
      <c r="E259" s="177">
        <f>0</f>
        <v>0</v>
      </c>
      <c r="F259" s="50">
        <f>26+2+1</f>
        <v>29</v>
      </c>
      <c r="G259" s="50">
        <f>16</f>
        <v>16</v>
      </c>
      <c r="H259" s="158"/>
      <c r="I259" s="22"/>
      <c r="O259" s="120"/>
      <c r="P259" s="96"/>
      <c r="Q259" s="97"/>
      <c r="R259" s="22"/>
      <c r="Z259" s="95"/>
      <c r="AA259" s="96"/>
      <c r="AB259" s="97"/>
    </row>
    <row r="260" spans="1:28" x14ac:dyDescent="0.25">
      <c r="A260" s="11" t="s">
        <v>862</v>
      </c>
      <c r="B260" s="60" t="s">
        <v>63</v>
      </c>
      <c r="C260" s="62">
        <v>2014</v>
      </c>
      <c r="D260" s="1">
        <f>Q260+G260+F260+H260+E260</f>
        <v>24</v>
      </c>
      <c r="E260" s="177">
        <f>0+3+3</f>
        <v>6</v>
      </c>
      <c r="F260" s="50">
        <f>0+12+6</f>
        <v>18</v>
      </c>
      <c r="H260" s="158"/>
      <c r="I260" s="22"/>
      <c r="O260" s="120"/>
      <c r="P260" s="96"/>
      <c r="Q260" s="97"/>
      <c r="R260" s="22"/>
      <c r="S260" s="157"/>
      <c r="T260" s="157"/>
      <c r="U260" s="157"/>
      <c r="V260" s="157"/>
      <c r="W260" s="157"/>
      <c r="X260" s="157"/>
      <c r="Y260" s="13"/>
      <c r="Z260" s="95"/>
      <c r="AA260" s="96"/>
      <c r="AB260" s="97"/>
    </row>
    <row r="261" spans="1:28" x14ac:dyDescent="0.25">
      <c r="A261" s="11" t="s">
        <v>771</v>
      </c>
      <c r="B261" s="60" t="s">
        <v>64</v>
      </c>
      <c r="C261" s="62">
        <v>2013</v>
      </c>
      <c r="D261" s="1">
        <f>Q261+G261+F261+H261+E261</f>
        <v>48</v>
      </c>
      <c r="E261" s="177">
        <f>0+6</f>
        <v>6</v>
      </c>
      <c r="F261" s="50">
        <f>31</f>
        <v>31</v>
      </c>
      <c r="G261" s="50">
        <f>11</f>
        <v>11</v>
      </c>
      <c r="H261" s="158"/>
      <c r="I261" s="22"/>
      <c r="O261" s="120"/>
      <c r="P261" s="96"/>
      <c r="Q261" s="97"/>
      <c r="R261" s="22"/>
      <c r="S261" s="157"/>
      <c r="T261" s="157"/>
      <c r="U261" s="157"/>
      <c r="V261" s="157"/>
      <c r="W261" s="157"/>
      <c r="X261" s="157"/>
      <c r="Y261" s="13"/>
      <c r="Z261" s="95"/>
      <c r="AA261" s="96"/>
      <c r="AB261" s="97"/>
    </row>
    <row r="262" spans="1:28" x14ac:dyDescent="0.25">
      <c r="A262" s="11" t="s">
        <v>768</v>
      </c>
      <c r="B262" s="71" t="s">
        <v>780</v>
      </c>
      <c r="C262" s="62">
        <v>2012</v>
      </c>
      <c r="D262" s="1">
        <f>Q262+G262+F262+H262+E262</f>
        <v>0</v>
      </c>
      <c r="E262" s="177">
        <f>0</f>
        <v>0</v>
      </c>
      <c r="G262" s="50">
        <f>0</f>
        <v>0</v>
      </c>
      <c r="H262" s="158"/>
      <c r="I262" s="22"/>
      <c r="O262" s="120"/>
      <c r="P262" s="96"/>
      <c r="Q262" s="97"/>
      <c r="R262" s="22"/>
      <c r="S262" s="157"/>
      <c r="T262" s="157"/>
      <c r="U262" s="157"/>
      <c r="V262" s="157"/>
      <c r="W262" s="157"/>
      <c r="X262" s="157"/>
      <c r="Y262" s="13"/>
      <c r="Z262" s="95"/>
      <c r="AA262" s="96"/>
      <c r="AB262" s="97"/>
    </row>
    <row r="263" spans="1:28" x14ac:dyDescent="0.25">
      <c r="A263" s="11" t="s">
        <v>856</v>
      </c>
      <c r="B263" s="71" t="s">
        <v>86</v>
      </c>
      <c r="C263" s="62">
        <v>2013</v>
      </c>
      <c r="D263" s="1">
        <f>Q263+G263+F263+H263+E263</f>
        <v>79</v>
      </c>
      <c r="F263" s="50">
        <f>72+4+3</f>
        <v>79</v>
      </c>
      <c r="H263" s="158"/>
      <c r="I263" s="22"/>
      <c r="O263" s="120"/>
      <c r="P263" s="96"/>
      <c r="Q263" s="97"/>
      <c r="R263" s="22"/>
      <c r="S263" s="157"/>
      <c r="T263" s="157"/>
      <c r="U263" s="157"/>
      <c r="V263" s="157"/>
      <c r="W263" s="157"/>
      <c r="X263" s="157"/>
      <c r="Y263" s="13"/>
      <c r="Z263" s="95"/>
      <c r="AA263" s="96"/>
      <c r="AB263" s="97"/>
    </row>
    <row r="264" spans="1:28" x14ac:dyDescent="0.25">
      <c r="A264" s="11" t="s">
        <v>774</v>
      </c>
      <c r="B264" s="71" t="s">
        <v>298</v>
      </c>
      <c r="C264" s="62">
        <v>2012</v>
      </c>
      <c r="D264" s="1">
        <f>Q264+G264+F264+H264+E264</f>
        <v>16</v>
      </c>
      <c r="G264" s="50">
        <f>16</f>
        <v>16</v>
      </c>
      <c r="H264" s="158"/>
      <c r="I264" s="22"/>
      <c r="O264" s="120"/>
      <c r="P264" s="96"/>
      <c r="Q264" s="97"/>
      <c r="R264" s="22"/>
      <c r="S264" s="157"/>
      <c r="T264" s="157"/>
      <c r="U264" s="157"/>
      <c r="V264" s="157"/>
      <c r="W264" s="157"/>
      <c r="X264" s="157"/>
      <c r="Y264" s="13"/>
      <c r="Z264" s="95"/>
      <c r="AA264" s="96"/>
      <c r="AB264" s="97"/>
    </row>
    <row r="265" spans="1:28" x14ac:dyDescent="0.25">
      <c r="A265" s="11" t="s">
        <v>738</v>
      </c>
      <c r="B265" s="71" t="s">
        <v>63</v>
      </c>
      <c r="C265" s="62">
        <v>2015</v>
      </c>
      <c r="D265" s="1">
        <f>Q265+G265+F265+H265+E265</f>
        <v>88</v>
      </c>
      <c r="E265" s="177">
        <f>43+4</f>
        <v>47</v>
      </c>
      <c r="F265" s="50">
        <f>18+1</f>
        <v>19</v>
      </c>
      <c r="G265" s="50">
        <f>16</f>
        <v>16</v>
      </c>
      <c r="H265" s="158"/>
      <c r="I265" s="22"/>
      <c r="J265" s="50">
        <f>6</f>
        <v>6</v>
      </c>
      <c r="O265" s="120"/>
      <c r="P265" s="96">
        <f>SUM(J265:N265)</f>
        <v>6</v>
      </c>
      <c r="Q265" s="97">
        <f>IF(C265=2016, P265/3,P265)+O265</f>
        <v>6</v>
      </c>
      <c r="R265" s="22"/>
      <c r="Z265" s="95"/>
      <c r="AA265" s="96">
        <f>SUM(S265:Y265)</f>
        <v>0</v>
      </c>
      <c r="AB265" s="97">
        <f>IF(C265=2015, AA265/3,AA265)+Z265</f>
        <v>0</v>
      </c>
    </row>
    <row r="266" spans="1:28" x14ac:dyDescent="0.25">
      <c r="A266" s="11" t="s">
        <v>910</v>
      </c>
      <c r="B266" s="71" t="s">
        <v>409</v>
      </c>
      <c r="C266" s="62">
        <v>2013</v>
      </c>
      <c r="D266" s="1">
        <f>Q266+G266+F266+H266+E266</f>
        <v>0</v>
      </c>
      <c r="E266" s="177">
        <f>0</f>
        <v>0</v>
      </c>
      <c r="F266" s="177"/>
      <c r="G266" s="177"/>
      <c r="H266" s="158"/>
      <c r="I266" s="22"/>
      <c r="J266" s="177"/>
      <c r="K266" s="177"/>
      <c r="L266" s="177"/>
      <c r="M266" s="177"/>
      <c r="N266" s="177"/>
      <c r="O266" s="120"/>
      <c r="P266" s="96"/>
      <c r="Q266" s="97"/>
      <c r="R266" s="22"/>
      <c r="S266" s="177"/>
      <c r="T266" s="177"/>
      <c r="U266" s="177"/>
      <c r="V266" s="177"/>
      <c r="W266" s="177"/>
      <c r="X266" s="177"/>
      <c r="Z266" s="95"/>
      <c r="AA266" s="96"/>
      <c r="AB266" s="97"/>
    </row>
    <row r="267" spans="1:28" x14ac:dyDescent="0.25">
      <c r="A267" s="11" t="s">
        <v>746</v>
      </c>
      <c r="B267" s="71" t="s">
        <v>63</v>
      </c>
      <c r="C267" s="62">
        <v>2015</v>
      </c>
      <c r="D267" s="1">
        <f>Q267+G267+F267+H267+E267</f>
        <v>86</v>
      </c>
      <c r="E267" s="177">
        <f>0+4</f>
        <v>4</v>
      </c>
      <c r="F267" s="50">
        <f>50+4</f>
        <v>54</v>
      </c>
      <c r="G267" s="50">
        <f>28</f>
        <v>28</v>
      </c>
      <c r="H267" s="158"/>
      <c r="I267" s="22"/>
      <c r="J267" s="50">
        <f>0</f>
        <v>0</v>
      </c>
      <c r="O267" s="120"/>
      <c r="P267" s="96">
        <f>SUM(J267:N267)</f>
        <v>0</v>
      </c>
      <c r="Q267" s="97">
        <f>IF(C267=2016, P267/3,P267)+O267</f>
        <v>0</v>
      </c>
      <c r="R267" s="22"/>
      <c r="Z267" s="95"/>
      <c r="AA267" s="96">
        <f>SUM(S267:Y267)</f>
        <v>0</v>
      </c>
      <c r="AB267" s="97">
        <f>IF(C267=2015, AA267/3,AA267)+Z267</f>
        <v>0</v>
      </c>
    </row>
    <row r="268" spans="1:28" x14ac:dyDescent="0.25">
      <c r="A268" s="11" t="s">
        <v>735</v>
      </c>
      <c r="B268" s="71" t="s">
        <v>0</v>
      </c>
      <c r="C268" s="62">
        <v>2014</v>
      </c>
      <c r="D268" s="1">
        <f>Q268+G268+F268+H268+E268</f>
        <v>59</v>
      </c>
      <c r="E268" s="177">
        <f>23+1</f>
        <v>24</v>
      </c>
      <c r="F268" s="50">
        <f>26+3</f>
        <v>29</v>
      </c>
      <c r="H268" s="158"/>
      <c r="I268" s="22"/>
      <c r="J268" s="50">
        <f>6</f>
        <v>6</v>
      </c>
      <c r="O268" s="120"/>
      <c r="P268" s="96">
        <f>SUM(J268:N268)</f>
        <v>6</v>
      </c>
      <c r="Q268" s="97">
        <f>IF(C268=2016, P268/3,P268)+O268</f>
        <v>6</v>
      </c>
      <c r="R268" s="22"/>
      <c r="Z268" s="95"/>
      <c r="AA268" s="96">
        <f>SUM(S268:Y268)</f>
        <v>0</v>
      </c>
      <c r="AB268" s="97">
        <f>IF(C268=2015, AA268/3,AA268)+Z268</f>
        <v>0</v>
      </c>
    </row>
    <row r="269" spans="1:28" x14ac:dyDescent="0.25">
      <c r="A269" s="11" t="s">
        <v>727</v>
      </c>
      <c r="B269" s="60" t="s">
        <v>6</v>
      </c>
      <c r="C269" s="62">
        <v>2013</v>
      </c>
      <c r="D269" s="1">
        <f>Q269+G269+F269+H269+E269</f>
        <v>18</v>
      </c>
      <c r="H269" s="158"/>
      <c r="I269" s="22"/>
      <c r="J269" s="50">
        <f>18</f>
        <v>18</v>
      </c>
      <c r="O269" s="120"/>
      <c r="P269" s="96">
        <f>SUM(J269:N269)</f>
        <v>18</v>
      </c>
      <c r="Q269" s="97">
        <f>IF(C269=2016, P269/3,P269)+O269</f>
        <v>18</v>
      </c>
      <c r="R269" s="22"/>
      <c r="S269" s="157"/>
      <c r="T269" s="157"/>
      <c r="U269" s="157"/>
      <c r="V269" s="157"/>
      <c r="W269" s="157"/>
      <c r="X269" s="157"/>
      <c r="Y269" s="13"/>
      <c r="Z269" s="95"/>
      <c r="AA269" s="96">
        <f>SUM(S269:Y269)</f>
        <v>0</v>
      </c>
      <c r="AB269" s="97">
        <f>IF(C269=2015, AA269/3,AA269)+Z269</f>
        <v>0</v>
      </c>
    </row>
    <row r="270" spans="1:28" x14ac:dyDescent="0.25">
      <c r="A270" s="11" t="s">
        <v>843</v>
      </c>
      <c r="B270" s="60" t="s">
        <v>482</v>
      </c>
      <c r="C270" s="62">
        <v>2013</v>
      </c>
      <c r="D270" s="1">
        <f>Q270+G270+F270+H270+E270</f>
        <v>16</v>
      </c>
      <c r="F270" s="50">
        <f>13+2+1</f>
        <v>16</v>
      </c>
      <c r="H270" s="158"/>
      <c r="I270" s="22"/>
      <c r="O270" s="120"/>
      <c r="P270" s="96"/>
      <c r="Q270" s="97"/>
      <c r="R270" s="22"/>
      <c r="S270" s="157"/>
      <c r="T270" s="157"/>
      <c r="U270" s="157"/>
      <c r="V270" s="157"/>
      <c r="W270" s="157"/>
      <c r="X270" s="157"/>
      <c r="Y270" s="13"/>
      <c r="Z270" s="95"/>
      <c r="AA270" s="96"/>
      <c r="AB270" s="97"/>
    </row>
    <row r="271" spans="1:28" x14ac:dyDescent="0.25">
      <c r="A271" s="11" t="s">
        <v>835</v>
      </c>
      <c r="B271" s="60" t="s">
        <v>590</v>
      </c>
      <c r="C271" s="62">
        <v>2012</v>
      </c>
      <c r="D271" s="1">
        <f>Q271+G271+F271+H271+E271</f>
        <v>3</v>
      </c>
      <c r="G271" s="50">
        <f>3</f>
        <v>3</v>
      </c>
      <c r="H271" s="158"/>
      <c r="I271" s="22"/>
      <c r="O271" s="120"/>
      <c r="P271" s="96"/>
      <c r="Q271" s="97"/>
      <c r="R271" s="22"/>
      <c r="S271" s="157"/>
      <c r="T271" s="157"/>
      <c r="U271" s="157"/>
      <c r="V271" s="157"/>
      <c r="W271" s="157"/>
      <c r="X271" s="157"/>
      <c r="Y271" s="13"/>
      <c r="Z271" s="95"/>
      <c r="AA271" s="96"/>
      <c r="AB271" s="97"/>
    </row>
    <row r="272" spans="1:28" x14ac:dyDescent="0.25">
      <c r="A272" s="11" t="s">
        <v>849</v>
      </c>
      <c r="B272" s="60" t="s">
        <v>848</v>
      </c>
      <c r="C272" s="62">
        <v>2013</v>
      </c>
      <c r="D272" s="1">
        <f>Q272+G272+F272+H272+E272</f>
        <v>6</v>
      </c>
      <c r="E272" s="177">
        <f>0+6</f>
        <v>6</v>
      </c>
      <c r="F272" s="50">
        <f>0</f>
        <v>0</v>
      </c>
      <c r="H272" s="158"/>
      <c r="I272" s="22"/>
      <c r="O272" s="120"/>
      <c r="P272" s="96"/>
      <c r="Q272" s="97"/>
      <c r="R272" s="22"/>
      <c r="S272" s="157"/>
      <c r="T272" s="157"/>
      <c r="U272" s="157"/>
      <c r="V272" s="157"/>
      <c r="W272" s="157"/>
      <c r="X272" s="157"/>
      <c r="Y272" s="13"/>
      <c r="Z272" s="95"/>
      <c r="AA272" s="96"/>
      <c r="AB272" s="97"/>
    </row>
    <row r="273" spans="1:28" x14ac:dyDescent="0.25">
      <c r="A273" s="11" t="s">
        <v>847</v>
      </c>
      <c r="B273" s="60" t="s">
        <v>848</v>
      </c>
      <c r="C273" s="62">
        <v>2013</v>
      </c>
      <c r="D273" s="1">
        <f>Q273+G273+F273+H273+E273</f>
        <v>6</v>
      </c>
      <c r="E273" s="177">
        <f>0+6</f>
        <v>6</v>
      </c>
      <c r="F273" s="50">
        <f>0</f>
        <v>0</v>
      </c>
      <c r="H273" s="158"/>
      <c r="I273" s="22"/>
      <c r="O273" s="120"/>
      <c r="P273" s="96"/>
      <c r="Q273" s="97"/>
      <c r="R273" s="22"/>
      <c r="S273" s="157"/>
      <c r="T273" s="157"/>
      <c r="U273" s="157"/>
      <c r="V273" s="157"/>
      <c r="W273" s="157"/>
      <c r="X273" s="157"/>
      <c r="Y273" s="13"/>
      <c r="Z273" s="95"/>
      <c r="AA273" s="96"/>
      <c r="AB273" s="97"/>
    </row>
    <row r="274" spans="1:28" x14ac:dyDescent="0.25">
      <c r="A274" s="11" t="s">
        <v>850</v>
      </c>
      <c r="B274" s="60" t="s">
        <v>63</v>
      </c>
      <c r="C274" s="62">
        <v>2013</v>
      </c>
      <c r="D274" s="1">
        <f>Q274+G274+F274+H274+E274</f>
        <v>23</v>
      </c>
      <c r="E274" s="177">
        <f>23</f>
        <v>23</v>
      </c>
      <c r="F274" s="50">
        <f>0</f>
        <v>0</v>
      </c>
      <c r="H274" s="158"/>
      <c r="I274" s="22"/>
      <c r="O274" s="120"/>
      <c r="P274" s="96"/>
      <c r="Q274" s="97"/>
      <c r="R274" s="22"/>
      <c r="S274" s="157"/>
      <c r="T274" s="157"/>
      <c r="U274" s="157"/>
      <c r="V274" s="157"/>
      <c r="W274" s="157"/>
      <c r="X274" s="157"/>
      <c r="Y274" s="13"/>
      <c r="Z274" s="95"/>
      <c r="AA274" s="96"/>
      <c r="AB274" s="97"/>
    </row>
    <row r="275" spans="1:28" x14ac:dyDescent="0.25">
      <c r="A275" s="11" t="s">
        <v>776</v>
      </c>
      <c r="B275" s="60" t="s">
        <v>298</v>
      </c>
      <c r="C275" s="62">
        <v>2012</v>
      </c>
      <c r="D275" s="1">
        <f>Q275+G275+F275+H275+E275</f>
        <v>59</v>
      </c>
      <c r="E275" s="177">
        <f>43</f>
        <v>43</v>
      </c>
      <c r="G275" s="50">
        <f>16</f>
        <v>16</v>
      </c>
      <c r="H275" s="158"/>
      <c r="I275" s="22"/>
      <c r="O275" s="120"/>
      <c r="P275" s="96"/>
      <c r="Q275" s="97"/>
      <c r="R275" s="22"/>
      <c r="S275" s="157"/>
      <c r="T275" s="157"/>
      <c r="U275" s="157"/>
      <c r="V275" s="157"/>
      <c r="W275" s="157"/>
      <c r="X275" s="157"/>
      <c r="Y275" s="13"/>
      <c r="Z275" s="95"/>
      <c r="AA275" s="96"/>
      <c r="AB275" s="97"/>
    </row>
    <row r="276" spans="1:28" x14ac:dyDescent="0.25">
      <c r="A276" s="11" t="s">
        <v>720</v>
      </c>
      <c r="B276" s="60" t="s">
        <v>63</v>
      </c>
      <c r="C276" s="62">
        <v>2016</v>
      </c>
      <c r="D276" s="1">
        <f>Q276+G276+F276+H276+E276</f>
        <v>10</v>
      </c>
      <c r="E276" s="177">
        <f>0</f>
        <v>0</v>
      </c>
      <c r="F276" s="50">
        <f>0+1</f>
        <v>1</v>
      </c>
      <c r="G276" s="50">
        <f>9</f>
        <v>9</v>
      </c>
      <c r="H276" s="158"/>
      <c r="I276" s="22"/>
      <c r="O276" s="120"/>
      <c r="P276" s="96"/>
      <c r="Q276" s="97"/>
      <c r="R276" s="22"/>
      <c r="S276" s="157"/>
      <c r="T276" s="157"/>
      <c r="U276" s="157"/>
      <c r="V276" s="157"/>
      <c r="W276" s="157"/>
      <c r="X276" s="157"/>
      <c r="Y276" s="13"/>
      <c r="Z276" s="95"/>
      <c r="AA276" s="96"/>
      <c r="AB276" s="97"/>
    </row>
    <row r="277" spans="1:28" x14ac:dyDescent="0.25">
      <c r="A277" s="45" t="s">
        <v>889</v>
      </c>
      <c r="B277" s="66" t="s">
        <v>409</v>
      </c>
      <c r="C277" s="46">
        <v>2016</v>
      </c>
      <c r="D277" s="1">
        <f>Q277+G277+F277+H277+E277</f>
        <v>2</v>
      </c>
      <c r="E277" s="108">
        <f>2</f>
        <v>2</v>
      </c>
      <c r="F277" s="108"/>
      <c r="G277" s="108"/>
      <c r="H277" s="101"/>
      <c r="I277" s="108"/>
      <c r="J277" s="108"/>
      <c r="K277" s="108"/>
      <c r="L277" s="108"/>
      <c r="M277" s="108"/>
      <c r="N277" s="122"/>
      <c r="O277" s="3"/>
      <c r="Q277" s="101"/>
      <c r="R277" s="41"/>
      <c r="S277" s="41"/>
      <c r="T277" s="41"/>
      <c r="U277" s="41"/>
      <c r="V277" s="41"/>
      <c r="W277" s="41"/>
      <c r="X277" s="41"/>
      <c r="Y277" s="3"/>
    </row>
    <row r="278" spans="1:28" x14ac:dyDescent="0.25">
      <c r="A278" s="11" t="s">
        <v>829</v>
      </c>
      <c r="B278" s="60" t="s">
        <v>590</v>
      </c>
      <c r="C278" s="62">
        <v>2013</v>
      </c>
      <c r="D278" s="1">
        <f>Q278+G278+F278+H278+E278</f>
        <v>3</v>
      </c>
      <c r="G278" s="50">
        <f>3</f>
        <v>3</v>
      </c>
      <c r="H278" s="158"/>
      <c r="I278" s="22"/>
      <c r="O278" s="120"/>
      <c r="P278" s="96"/>
      <c r="Q278" s="97"/>
      <c r="R278" s="22"/>
      <c r="Z278" s="95"/>
      <c r="AA278" s="96"/>
      <c r="AB278" s="97"/>
    </row>
    <row r="279" spans="1:28" x14ac:dyDescent="0.25">
      <c r="A279" s="11" t="s">
        <v>731</v>
      </c>
      <c r="B279" s="60" t="s">
        <v>0</v>
      </c>
      <c r="C279" s="62">
        <v>2012</v>
      </c>
      <c r="D279" s="1">
        <f>Q279+G279+F279+H279+E279</f>
        <v>12</v>
      </c>
      <c r="H279" s="158"/>
      <c r="I279" s="22"/>
      <c r="J279" s="50">
        <f>12</f>
        <v>12</v>
      </c>
      <c r="O279" s="120"/>
      <c r="P279" s="96">
        <f>SUM(J279:N279)</f>
        <v>12</v>
      </c>
      <c r="Q279" s="97">
        <f>IF(C279=2016, P279/3,P279)+O279</f>
        <v>12</v>
      </c>
      <c r="R279" s="22"/>
      <c r="Z279" s="95"/>
      <c r="AA279" s="96">
        <f>SUM(S279:Y279)</f>
        <v>0</v>
      </c>
      <c r="AB279" s="97">
        <f>IF(C279=2015, AA279/3,AA279)+Z279</f>
        <v>0</v>
      </c>
    </row>
    <row r="280" spans="1:28" x14ac:dyDescent="0.25">
      <c r="A280" s="71" t="s">
        <v>744</v>
      </c>
      <c r="B280" s="71" t="s">
        <v>63</v>
      </c>
      <c r="C280" s="72">
        <v>2015</v>
      </c>
      <c r="D280" s="1">
        <f>Q280+G280+F280+H280+E280</f>
        <v>24</v>
      </c>
      <c r="F280" s="177">
        <f>13</f>
        <v>13</v>
      </c>
      <c r="G280" s="177">
        <f>11</f>
        <v>11</v>
      </c>
      <c r="H280" s="158"/>
      <c r="I280" s="22"/>
      <c r="J280" s="177">
        <f>0</f>
        <v>0</v>
      </c>
      <c r="K280" s="177"/>
      <c r="L280" s="177"/>
      <c r="M280" s="177"/>
      <c r="N280" s="177"/>
      <c r="O280" s="120"/>
      <c r="P280" s="96">
        <f>SUM(J280:N280)</f>
        <v>0</v>
      </c>
      <c r="Q280" s="97">
        <f>IF(C280=2016, P280/3,P280)+O280</f>
        <v>0</v>
      </c>
      <c r="R280" s="22"/>
      <c r="S280" s="177"/>
      <c r="T280" s="177"/>
      <c r="U280" s="177"/>
      <c r="V280" s="177"/>
      <c r="W280" s="177"/>
      <c r="X280" s="177"/>
      <c r="Z280" s="95"/>
      <c r="AA280" s="96">
        <f>SUM(S280:Y280)</f>
        <v>0</v>
      </c>
      <c r="AB280" s="97">
        <f>IF(C280=2015, AA280/3,AA280)+Z280</f>
        <v>0</v>
      </c>
    </row>
    <row r="281" spans="1:28" x14ac:dyDescent="0.25">
      <c r="A281" s="11" t="s">
        <v>894</v>
      </c>
      <c r="B281" s="60" t="s">
        <v>6</v>
      </c>
      <c r="C281" s="62">
        <v>2014</v>
      </c>
      <c r="D281" s="1">
        <f>Q281+G281+F281+H281+E281</f>
        <v>60</v>
      </c>
      <c r="E281" s="177">
        <f>50+10</f>
        <v>60</v>
      </c>
      <c r="H281" s="158"/>
      <c r="I281" s="22"/>
      <c r="O281" s="120"/>
      <c r="P281" s="96"/>
      <c r="Q281" s="97"/>
      <c r="R281" s="22"/>
      <c r="Z281" s="95"/>
      <c r="AA281" s="96"/>
      <c r="AB281" s="97"/>
    </row>
    <row r="282" spans="1:28" x14ac:dyDescent="0.25">
      <c r="A282" s="71" t="s">
        <v>769</v>
      </c>
      <c r="B282" s="71" t="s">
        <v>298</v>
      </c>
      <c r="C282" s="72">
        <v>2013</v>
      </c>
      <c r="D282" s="1">
        <f>Q282+G282+F282+H282+E282</f>
        <v>0</v>
      </c>
      <c r="G282" s="50">
        <f>0</f>
        <v>0</v>
      </c>
      <c r="H282" s="158"/>
      <c r="I282" s="22"/>
      <c r="O282" s="120"/>
      <c r="P282" s="96"/>
      <c r="Q282" s="97"/>
      <c r="R282" s="22"/>
      <c r="Z282" s="95"/>
      <c r="AA282" s="96"/>
      <c r="AB282" s="97"/>
    </row>
    <row r="283" spans="1:28" x14ac:dyDescent="0.25">
      <c r="A283" s="71" t="s">
        <v>878</v>
      </c>
      <c r="B283" s="71" t="s">
        <v>482</v>
      </c>
      <c r="C283" s="72">
        <v>2015</v>
      </c>
      <c r="D283" s="1">
        <f>Q283+G283+F283+H283+E283</f>
        <v>1</v>
      </c>
      <c r="F283" s="173">
        <f>1</f>
        <v>1</v>
      </c>
      <c r="G283" s="173"/>
      <c r="H283" s="158"/>
      <c r="I283" s="22"/>
      <c r="J283" s="173"/>
      <c r="K283" s="173"/>
      <c r="L283" s="173"/>
      <c r="M283" s="173"/>
      <c r="N283" s="173"/>
      <c r="O283" s="120"/>
      <c r="P283" s="96"/>
      <c r="Q283" s="97"/>
      <c r="R283" s="22"/>
      <c r="S283" s="173"/>
      <c r="T283" s="173"/>
      <c r="U283" s="173"/>
      <c r="V283" s="173"/>
      <c r="W283" s="173"/>
      <c r="X283" s="173"/>
      <c r="Z283" s="95"/>
      <c r="AA283" s="96"/>
      <c r="AB283" s="97"/>
    </row>
    <row r="284" spans="1:28" x14ac:dyDescent="0.25">
      <c r="A284" s="71" t="s">
        <v>740</v>
      </c>
      <c r="B284" s="71" t="s">
        <v>63</v>
      </c>
      <c r="C284" s="72">
        <v>2014</v>
      </c>
      <c r="D284" s="1">
        <f>Q284+G284+F284+H284+E284</f>
        <v>20</v>
      </c>
      <c r="E284" s="177">
        <f>0</f>
        <v>0</v>
      </c>
      <c r="F284" s="50">
        <f>18+2</f>
        <v>20</v>
      </c>
      <c r="G284" s="50">
        <f>0</f>
        <v>0</v>
      </c>
      <c r="H284" s="158"/>
      <c r="I284" s="22"/>
      <c r="J284" s="50">
        <f>0</f>
        <v>0</v>
      </c>
      <c r="O284" s="120"/>
      <c r="P284" s="96">
        <f>SUM(J284:N284)</f>
        <v>0</v>
      </c>
      <c r="Q284" s="97">
        <f>IF(C284=2016, P284/3,P284)+O284</f>
        <v>0</v>
      </c>
      <c r="R284" s="22"/>
      <c r="Z284" s="95"/>
      <c r="AA284" s="96">
        <f>SUM(S284:Y284)</f>
        <v>0</v>
      </c>
      <c r="AB284" s="97">
        <f>IF(C284=2015, AA284/3,AA284)+Z284</f>
        <v>0</v>
      </c>
    </row>
    <row r="285" spans="1:28" x14ac:dyDescent="0.25">
      <c r="A285" s="45" t="s">
        <v>778</v>
      </c>
      <c r="B285" s="66" t="s">
        <v>63</v>
      </c>
      <c r="C285" s="46">
        <v>2015</v>
      </c>
      <c r="D285" s="1">
        <f>Q285+G285+F285+H285+E285</f>
        <v>30</v>
      </c>
      <c r="E285" s="160">
        <f>0</f>
        <v>0</v>
      </c>
      <c r="F285" s="160">
        <f>13+1</f>
        <v>14</v>
      </c>
      <c r="G285" s="160">
        <f>16</f>
        <v>16</v>
      </c>
      <c r="H285" s="158"/>
      <c r="I285" s="101"/>
      <c r="O285" s="120"/>
      <c r="P285" s="96"/>
      <c r="Q285" s="97"/>
      <c r="R285" s="101"/>
      <c r="S285" s="157"/>
      <c r="T285" s="157"/>
      <c r="U285" s="157"/>
      <c r="V285" s="157"/>
      <c r="W285" s="157"/>
      <c r="X285" s="157"/>
      <c r="Y285" s="156"/>
      <c r="Z285" s="95"/>
      <c r="AA285" s="96"/>
      <c r="AB285" s="97"/>
    </row>
    <row r="286" spans="1:28" x14ac:dyDescent="0.25">
      <c r="A286" s="45" t="s">
        <v>899</v>
      </c>
      <c r="B286" s="66" t="s">
        <v>298</v>
      </c>
      <c r="C286" s="46">
        <v>2013</v>
      </c>
      <c r="D286" s="1">
        <f>Q286+G286+F286+H286+E286</f>
        <v>23</v>
      </c>
      <c r="E286" s="160">
        <f>23</f>
        <v>23</v>
      </c>
      <c r="F286" s="160"/>
      <c r="G286" s="160"/>
      <c r="H286" s="158"/>
      <c r="I286" s="101"/>
      <c r="J286" s="177"/>
      <c r="K286" s="177"/>
      <c r="L286" s="177"/>
      <c r="M286" s="177"/>
      <c r="N286" s="177"/>
      <c r="O286" s="120"/>
      <c r="P286" s="96"/>
      <c r="Q286" s="97"/>
      <c r="R286" s="101"/>
      <c r="S286" s="157"/>
      <c r="T286" s="157"/>
      <c r="U286" s="157"/>
      <c r="V286" s="157"/>
      <c r="W286" s="157"/>
      <c r="X286" s="157"/>
      <c r="Y286" s="175"/>
      <c r="Z286" s="95"/>
      <c r="AA286" s="96"/>
      <c r="AB286" s="97"/>
    </row>
    <row r="287" spans="1:28" x14ac:dyDescent="0.25">
      <c r="A287" s="11" t="s">
        <v>767</v>
      </c>
      <c r="B287" s="60" t="s">
        <v>63</v>
      </c>
      <c r="C287" s="62">
        <v>2014</v>
      </c>
      <c r="D287" s="1">
        <f>Q287+G287+F287+H287+E287</f>
        <v>129</v>
      </c>
      <c r="E287" s="177">
        <f>51+7</f>
        <v>58</v>
      </c>
      <c r="F287" s="50">
        <f>39+4+1</f>
        <v>44</v>
      </c>
      <c r="G287" s="50">
        <f>27</f>
        <v>27</v>
      </c>
      <c r="H287" s="158"/>
      <c r="I287" s="22"/>
      <c r="O287" s="120"/>
      <c r="P287" s="96"/>
      <c r="Q287" s="97"/>
      <c r="R287" s="22"/>
      <c r="S287" s="157"/>
      <c r="T287" s="157"/>
      <c r="U287" s="157"/>
      <c r="V287" s="157"/>
      <c r="W287" s="157"/>
      <c r="X287" s="157"/>
      <c r="Y287" s="13"/>
      <c r="Z287" s="95"/>
      <c r="AA287" s="96"/>
      <c r="AB287" s="97"/>
    </row>
    <row r="288" spans="1:28" x14ac:dyDescent="0.25">
      <c r="A288" s="11" t="s">
        <v>908</v>
      </c>
      <c r="B288" s="60" t="s">
        <v>409</v>
      </c>
      <c r="C288" s="62">
        <v>2013</v>
      </c>
      <c r="D288" s="1">
        <f>Q288+G288+F288+H288+E288</f>
        <v>17</v>
      </c>
      <c r="E288" s="177">
        <f>0+17</f>
        <v>17</v>
      </c>
      <c r="F288" s="177"/>
      <c r="G288" s="177"/>
      <c r="H288" s="158"/>
      <c r="I288" s="22"/>
      <c r="J288" s="177"/>
      <c r="K288" s="177"/>
      <c r="L288" s="177"/>
      <c r="M288" s="177"/>
      <c r="N288" s="177"/>
      <c r="O288" s="120"/>
      <c r="P288" s="96"/>
      <c r="Q288" s="97"/>
      <c r="R288" s="22"/>
      <c r="S288" s="157"/>
      <c r="T288" s="157"/>
      <c r="U288" s="157"/>
      <c r="V288" s="157"/>
      <c r="W288" s="157"/>
      <c r="X288" s="157"/>
      <c r="Y288" s="13"/>
      <c r="Z288" s="95"/>
      <c r="AA288" s="96"/>
      <c r="AB288" s="97"/>
    </row>
    <row r="289" spans="1:28" x14ac:dyDescent="0.25">
      <c r="A289" s="11" t="s">
        <v>928</v>
      </c>
      <c r="B289" s="60" t="s">
        <v>409</v>
      </c>
      <c r="C289" s="62">
        <v>2013</v>
      </c>
      <c r="D289" s="1">
        <f>Q289+G289+F289+H289+E289</f>
        <v>10</v>
      </c>
      <c r="E289" s="177">
        <f>10</f>
        <v>10</v>
      </c>
      <c r="F289" s="177"/>
      <c r="G289" s="177"/>
      <c r="H289" s="158"/>
      <c r="I289" s="22"/>
      <c r="J289" s="177"/>
      <c r="K289" s="177"/>
      <c r="L289" s="177"/>
      <c r="M289" s="177"/>
      <c r="N289" s="177"/>
      <c r="O289" s="120"/>
      <c r="P289" s="96"/>
      <c r="Q289" s="97"/>
      <c r="R289" s="22"/>
      <c r="S289" s="157"/>
      <c r="T289" s="157"/>
      <c r="U289" s="157"/>
      <c r="V289" s="157"/>
      <c r="W289" s="157"/>
      <c r="X289" s="157"/>
      <c r="Y289" s="13"/>
      <c r="Z289" s="95"/>
      <c r="AA289" s="96"/>
      <c r="AB289" s="97"/>
    </row>
    <row r="290" spans="1:28" x14ac:dyDescent="0.25">
      <c r="A290" s="71" t="s">
        <v>741</v>
      </c>
      <c r="B290" s="71" t="s">
        <v>63</v>
      </c>
      <c r="C290" s="72">
        <v>2012</v>
      </c>
      <c r="D290" s="1">
        <f>Q290+G290+F290+H290+E290</f>
        <v>0</v>
      </c>
      <c r="H290" s="158"/>
      <c r="I290" s="22"/>
      <c r="J290" s="50">
        <f>0</f>
        <v>0</v>
      </c>
      <c r="O290" s="120"/>
      <c r="P290" s="96">
        <f>SUM(J290:N290)</f>
        <v>0</v>
      </c>
      <c r="Q290" s="97">
        <f>IF(C290=2016, P290/3,P290)+O290</f>
        <v>0</v>
      </c>
      <c r="R290" s="22"/>
      <c r="Z290" s="95"/>
      <c r="AA290" s="96">
        <f>SUM(S290:Y290)</f>
        <v>0</v>
      </c>
      <c r="AB290" s="97">
        <f>IF(C290=2015, AA290/3,AA290)+Z290</f>
        <v>0</v>
      </c>
    </row>
    <row r="291" spans="1:28" x14ac:dyDescent="0.25">
      <c r="A291" s="71" t="s">
        <v>832</v>
      </c>
      <c r="B291" s="71" t="s">
        <v>590</v>
      </c>
      <c r="C291" s="72">
        <v>2013</v>
      </c>
      <c r="D291" s="1">
        <f>Q291+G291+F291+H291+E291</f>
        <v>3</v>
      </c>
      <c r="G291" s="50">
        <f>3</f>
        <v>3</v>
      </c>
      <c r="H291" s="158"/>
      <c r="I291" s="22"/>
      <c r="O291" s="120"/>
      <c r="P291" s="96"/>
      <c r="Q291" s="97"/>
      <c r="R291" s="22"/>
      <c r="Z291" s="95"/>
      <c r="AA291" s="96"/>
      <c r="AB291" s="97"/>
    </row>
    <row r="292" spans="1:28" x14ac:dyDescent="0.25">
      <c r="A292" s="71" t="s">
        <v>857</v>
      </c>
      <c r="B292" s="71" t="s">
        <v>86</v>
      </c>
      <c r="C292" s="72">
        <v>2012</v>
      </c>
      <c r="D292" s="1">
        <f>Q292+G292+F292+H292+E292</f>
        <v>53</v>
      </c>
      <c r="F292" s="50">
        <f>50+3</f>
        <v>53</v>
      </c>
      <c r="H292" s="158"/>
      <c r="I292" s="22"/>
      <c r="O292" s="120"/>
      <c r="P292" s="96"/>
      <c r="Q292" s="97"/>
      <c r="R292" s="22"/>
      <c r="Z292" s="95"/>
      <c r="AA292" s="96"/>
      <c r="AB292" s="97"/>
    </row>
    <row r="293" spans="1:28" x14ac:dyDescent="0.25">
      <c r="A293" s="71" t="s">
        <v>831</v>
      </c>
      <c r="B293" s="71" t="s">
        <v>590</v>
      </c>
      <c r="C293" s="72">
        <v>2013</v>
      </c>
      <c r="D293" s="1">
        <f>Q293+G293+F293+H293+E293</f>
        <v>3</v>
      </c>
      <c r="G293" s="50">
        <f>3</f>
        <v>3</v>
      </c>
      <c r="H293" s="158"/>
      <c r="I293" s="22"/>
      <c r="O293" s="120"/>
      <c r="P293" s="96"/>
      <c r="Q293" s="97"/>
      <c r="R293" s="22"/>
      <c r="Z293" s="95"/>
      <c r="AA293" s="96"/>
      <c r="AB293" s="97"/>
    </row>
    <row r="294" spans="1:28" x14ac:dyDescent="0.25">
      <c r="A294" s="71" t="s">
        <v>903</v>
      </c>
      <c r="B294" s="71" t="s">
        <v>409</v>
      </c>
      <c r="C294" s="72">
        <v>2014</v>
      </c>
      <c r="D294" s="1">
        <f>Q294+G294+F294+H294+E294</f>
        <v>33</v>
      </c>
      <c r="E294" s="177">
        <f>23+10</f>
        <v>33</v>
      </c>
      <c r="F294" s="177"/>
      <c r="G294" s="177"/>
      <c r="H294" s="158"/>
      <c r="I294" s="22"/>
      <c r="J294" s="177"/>
      <c r="K294" s="177"/>
      <c r="L294" s="177"/>
      <c r="M294" s="177"/>
      <c r="N294" s="177"/>
      <c r="O294" s="120"/>
      <c r="P294" s="96"/>
      <c r="Q294" s="97"/>
      <c r="R294" s="22"/>
      <c r="S294" s="177"/>
      <c r="T294" s="177"/>
      <c r="U294" s="177"/>
      <c r="V294" s="177"/>
      <c r="W294" s="177"/>
      <c r="X294" s="177"/>
      <c r="Z294" s="95"/>
      <c r="AA294" s="96"/>
      <c r="AB294" s="97"/>
    </row>
    <row r="295" spans="1:28" x14ac:dyDescent="0.25">
      <c r="A295" s="71" t="s">
        <v>846</v>
      </c>
      <c r="B295" s="71" t="s">
        <v>808</v>
      </c>
      <c r="C295" s="72">
        <v>2013</v>
      </c>
      <c r="D295" s="1">
        <f>Q295+G295+F295+H295+E295</f>
        <v>0</v>
      </c>
      <c r="F295" s="50">
        <f>0</f>
        <v>0</v>
      </c>
      <c r="H295" s="158"/>
      <c r="I295" s="22"/>
      <c r="O295" s="120"/>
      <c r="P295" s="96"/>
      <c r="Q295" s="97"/>
      <c r="R295" s="22"/>
      <c r="Z295" s="95"/>
      <c r="AA295" s="96"/>
      <c r="AB295" s="97"/>
    </row>
    <row r="296" spans="1:28" x14ac:dyDescent="0.25">
      <c r="A296" s="71" t="s">
        <v>844</v>
      </c>
      <c r="B296" s="71" t="s">
        <v>63</v>
      </c>
      <c r="C296" s="72">
        <v>2013</v>
      </c>
      <c r="D296" s="1">
        <f>Q296+G296+F296+H296+E296</f>
        <v>13</v>
      </c>
      <c r="E296" s="177">
        <f>0</f>
        <v>0</v>
      </c>
      <c r="F296" s="50">
        <f>13</f>
        <v>13</v>
      </c>
      <c r="H296" s="158"/>
      <c r="I296" s="22"/>
      <c r="O296" s="120"/>
      <c r="P296" s="96"/>
      <c r="Q296" s="97"/>
      <c r="R296" s="22"/>
      <c r="Z296" s="95"/>
      <c r="AA296" s="96"/>
      <c r="AB296" s="97"/>
    </row>
    <row r="297" spans="1:28" x14ac:dyDescent="0.25">
      <c r="A297" s="71" t="s">
        <v>900</v>
      </c>
      <c r="B297" s="71" t="s">
        <v>6</v>
      </c>
      <c r="C297" s="72">
        <v>2014</v>
      </c>
      <c r="D297" s="1">
        <f>Q297+G297+F297+H297+E297</f>
        <v>23</v>
      </c>
      <c r="E297" s="177">
        <f>23</f>
        <v>23</v>
      </c>
      <c r="H297" s="158"/>
      <c r="I297" s="22"/>
      <c r="O297" s="120"/>
      <c r="P297" s="96"/>
      <c r="Q297" s="97"/>
      <c r="R297" s="22"/>
      <c r="S297" s="182"/>
      <c r="T297" s="182"/>
      <c r="U297" s="182"/>
      <c r="V297" s="182"/>
      <c r="W297" s="182"/>
      <c r="X297" s="182"/>
      <c r="Z297" s="95"/>
      <c r="AA297" s="96"/>
      <c r="AB297" s="97"/>
    </row>
    <row r="298" spans="1:28" x14ac:dyDescent="0.25">
      <c r="A298" s="71" t="s">
        <v>841</v>
      </c>
      <c r="B298" s="71" t="s">
        <v>0</v>
      </c>
      <c r="C298" s="72">
        <v>2012</v>
      </c>
      <c r="D298" s="1">
        <f>Q298+G298+F298+H298+E298</f>
        <v>26</v>
      </c>
      <c r="E298" s="177">
        <f>0</f>
        <v>0</v>
      </c>
      <c r="F298" s="50">
        <f>23+3</f>
        <v>26</v>
      </c>
      <c r="H298" s="158"/>
      <c r="I298" s="22"/>
      <c r="O298" s="120"/>
      <c r="P298" s="96"/>
      <c r="Q298" s="97"/>
      <c r="R298" s="22"/>
      <c r="S298" s="182"/>
      <c r="T298" s="182"/>
      <c r="U298" s="182"/>
      <c r="V298" s="182"/>
      <c r="W298" s="182"/>
      <c r="X298" s="182"/>
      <c r="Z298" s="95"/>
      <c r="AA298" s="96"/>
      <c r="AB298" s="97"/>
    </row>
    <row r="299" spans="1:28" x14ac:dyDescent="0.25">
      <c r="A299" s="71" t="s">
        <v>905</v>
      </c>
      <c r="B299" s="71" t="s">
        <v>0</v>
      </c>
      <c r="C299" s="72">
        <v>2016</v>
      </c>
      <c r="D299" s="1">
        <f>Q299+G299+F299+H299+E299</f>
        <v>39</v>
      </c>
      <c r="E299" s="177">
        <f>23+16</f>
        <v>39</v>
      </c>
      <c r="H299" s="158"/>
      <c r="I299" s="22"/>
      <c r="O299" s="120"/>
      <c r="P299" s="96"/>
      <c r="Q299" s="97"/>
      <c r="R299" s="22"/>
      <c r="S299" s="182"/>
      <c r="T299" s="182"/>
      <c r="U299" s="182"/>
      <c r="V299" s="182"/>
      <c r="W299" s="182"/>
      <c r="X299" s="182"/>
      <c r="Z299" s="95"/>
      <c r="AA299" s="96"/>
      <c r="AB299" s="97"/>
    </row>
    <row r="300" spans="1:28" x14ac:dyDescent="0.25">
      <c r="A300" s="11" t="s">
        <v>743</v>
      </c>
      <c r="B300" s="60" t="s">
        <v>63</v>
      </c>
      <c r="C300" s="62">
        <v>2014</v>
      </c>
      <c r="D300" s="1">
        <f>Q300+G300+F300+H300+E300</f>
        <v>96</v>
      </c>
      <c r="E300" s="177">
        <f>43+10</f>
        <v>53</v>
      </c>
      <c r="F300" s="50">
        <f>37+6</f>
        <v>43</v>
      </c>
      <c r="G300" s="50">
        <f>0</f>
        <v>0</v>
      </c>
      <c r="H300" s="158"/>
      <c r="I300" s="22"/>
      <c r="J300" s="50">
        <f>0</f>
        <v>0</v>
      </c>
      <c r="O300" s="120"/>
      <c r="P300" s="96">
        <f>SUM(J300:N300)</f>
        <v>0</v>
      </c>
      <c r="Q300" s="97">
        <f>IF(C300=2016, P300/3,P300)+O300</f>
        <v>0</v>
      </c>
      <c r="R300" s="22"/>
      <c r="S300" s="157"/>
      <c r="T300" s="157"/>
      <c r="U300" s="157"/>
      <c r="V300" s="157"/>
      <c r="W300" s="157"/>
      <c r="X300" s="157"/>
      <c r="Y300" s="13"/>
      <c r="Z300" s="95"/>
      <c r="AA300" s="96">
        <f>SUM(S300:Y300)</f>
        <v>0</v>
      </c>
      <c r="AB300" s="97">
        <f>IF(C300=2015, AA300/3,AA300)+Z300</f>
        <v>0</v>
      </c>
    </row>
    <row r="301" spans="1:28" x14ac:dyDescent="0.25">
      <c r="A301" s="11" t="s">
        <v>834</v>
      </c>
      <c r="B301" s="60" t="s">
        <v>590</v>
      </c>
      <c r="C301" s="62">
        <v>2012</v>
      </c>
      <c r="D301" s="1">
        <f>Q301+G301+F301+H301+E301</f>
        <v>3</v>
      </c>
      <c r="G301" s="50">
        <f>3</f>
        <v>3</v>
      </c>
      <c r="H301" s="158"/>
      <c r="I301" s="22"/>
      <c r="O301" s="120"/>
      <c r="P301" s="96"/>
      <c r="Q301" s="97"/>
      <c r="R301" s="22"/>
      <c r="S301" s="157"/>
      <c r="T301" s="157"/>
      <c r="U301" s="157"/>
      <c r="V301" s="157"/>
      <c r="W301" s="157"/>
      <c r="X301" s="157"/>
      <c r="Y301" s="13"/>
      <c r="Z301" s="95"/>
      <c r="AA301" s="96"/>
      <c r="AB301" s="97"/>
    </row>
    <row r="302" spans="1:28" x14ac:dyDescent="0.25">
      <c r="A302" s="71" t="s">
        <v>733</v>
      </c>
      <c r="B302" s="71" t="s">
        <v>63</v>
      </c>
      <c r="C302" s="72">
        <v>2013</v>
      </c>
      <c r="D302" s="1">
        <f>Q302+G302+F302+H302+E302</f>
        <v>31</v>
      </c>
      <c r="E302" s="177">
        <f>0</f>
        <v>0</v>
      </c>
      <c r="F302" s="50">
        <f>18+1</f>
        <v>19</v>
      </c>
      <c r="G302" s="50">
        <f>0</f>
        <v>0</v>
      </c>
      <c r="H302" s="158"/>
      <c r="I302" s="22"/>
      <c r="J302" s="50">
        <f>12</f>
        <v>12</v>
      </c>
      <c r="O302" s="120"/>
      <c r="P302" s="96">
        <f>SUM(J302:N302)</f>
        <v>12</v>
      </c>
      <c r="Q302" s="97">
        <f>IF(C302=2016, P302/3,P302)+O302</f>
        <v>12</v>
      </c>
      <c r="R302" s="22"/>
      <c r="Z302" s="95"/>
      <c r="AA302" s="96">
        <f>SUM(S302:Y302)</f>
        <v>0</v>
      </c>
      <c r="AB302" s="97">
        <f>IF(C302=2015, AA302/3,AA302)+Z302</f>
        <v>0</v>
      </c>
    </row>
    <row r="303" spans="1:28" x14ac:dyDescent="0.25">
      <c r="A303" s="71" t="s">
        <v>911</v>
      </c>
      <c r="B303" s="71" t="s">
        <v>0</v>
      </c>
      <c r="C303" s="72">
        <v>2016</v>
      </c>
      <c r="D303" s="1">
        <f>Q303+G303+F303+H303+E303</f>
        <v>0</v>
      </c>
      <c r="E303" s="177">
        <f>0</f>
        <v>0</v>
      </c>
      <c r="H303" s="158"/>
      <c r="I303" s="22"/>
      <c r="O303" s="120"/>
      <c r="P303" s="96"/>
      <c r="Q303" s="97"/>
      <c r="R303" s="22"/>
      <c r="Z303" s="95"/>
      <c r="AA303" s="96"/>
      <c r="AB303" s="97"/>
    </row>
    <row r="304" spans="1:28" x14ac:dyDescent="0.25">
      <c r="A304" s="11" t="s">
        <v>858</v>
      </c>
      <c r="B304" s="60" t="s">
        <v>86</v>
      </c>
      <c r="C304" s="62">
        <v>2012</v>
      </c>
      <c r="D304" s="1">
        <f>Q304+G304+F304+H304+E304</f>
        <v>39</v>
      </c>
      <c r="F304" s="50">
        <f>22+14+3</f>
        <v>39</v>
      </c>
      <c r="H304" s="158"/>
      <c r="I304" s="22"/>
      <c r="O304" s="120"/>
      <c r="P304" s="96"/>
      <c r="Q304" s="97"/>
      <c r="R304" s="22"/>
      <c r="S304" s="157"/>
      <c r="T304" s="157"/>
      <c r="U304" s="157"/>
      <c r="V304" s="157"/>
      <c r="W304" s="157"/>
      <c r="X304" s="157"/>
      <c r="Y304" s="13"/>
      <c r="Z304" s="95"/>
      <c r="AA304" s="96"/>
      <c r="AB304" s="97"/>
    </row>
    <row r="305" spans="1:28" x14ac:dyDescent="0.25">
      <c r="A305" s="71" t="s">
        <v>736</v>
      </c>
      <c r="B305" s="71" t="s">
        <v>0</v>
      </c>
      <c r="C305" s="72">
        <v>2012</v>
      </c>
      <c r="D305" s="1">
        <f>Q305+G305+F305+H305+E305</f>
        <v>121</v>
      </c>
      <c r="E305" s="177">
        <f>23+10+9</f>
        <v>42</v>
      </c>
      <c r="F305" s="50">
        <f>26+8+9</f>
        <v>43</v>
      </c>
      <c r="G305" s="50">
        <f>23+1+6</f>
        <v>30</v>
      </c>
      <c r="H305" s="158"/>
      <c r="I305" s="22"/>
      <c r="J305" s="50">
        <f>6</f>
        <v>6</v>
      </c>
      <c r="O305" s="120"/>
      <c r="P305" s="96">
        <f>SUM(J305:N305)</f>
        <v>6</v>
      </c>
      <c r="Q305" s="97">
        <f>IF(C305=2016, P305/3,P305)+O305</f>
        <v>6</v>
      </c>
      <c r="R305" s="22"/>
      <c r="Z305" s="95"/>
      <c r="AA305" s="96">
        <f>SUM(S305:Y305)</f>
        <v>0</v>
      </c>
      <c r="AB305" s="97">
        <f>IF(C305=2015, AA305/3,AA305)+Z305</f>
        <v>0</v>
      </c>
    </row>
    <row r="306" spans="1:28" x14ac:dyDescent="0.25">
      <c r="A306" s="71" t="s">
        <v>852</v>
      </c>
      <c r="B306" s="71" t="s">
        <v>848</v>
      </c>
      <c r="C306" s="72">
        <v>2013</v>
      </c>
      <c r="D306" s="1">
        <f>Q306+G306+F306+H306+E306</f>
        <v>46</v>
      </c>
      <c r="E306" s="177">
        <f>40+6</f>
        <v>46</v>
      </c>
      <c r="F306" s="50">
        <f>0</f>
        <v>0</v>
      </c>
      <c r="H306" s="158"/>
      <c r="I306" s="22"/>
      <c r="O306" s="120"/>
      <c r="P306" s="96"/>
      <c r="Q306" s="97"/>
      <c r="R306" s="22"/>
      <c r="Z306" s="95"/>
      <c r="AA306" s="96"/>
      <c r="AB306" s="97"/>
    </row>
    <row r="307" spans="1:28" x14ac:dyDescent="0.25">
      <c r="A307" s="71" t="s">
        <v>724</v>
      </c>
      <c r="B307" s="71" t="s">
        <v>0</v>
      </c>
      <c r="C307" s="72">
        <v>2012</v>
      </c>
      <c r="D307" s="1">
        <f>Q307+G307+F307+H307+E307</f>
        <v>192</v>
      </c>
      <c r="E307" s="177">
        <f>52+10+9</f>
        <v>71</v>
      </c>
      <c r="F307" s="177">
        <f>38+8+9</f>
        <v>55</v>
      </c>
      <c r="G307" s="177">
        <f>34+1+6</f>
        <v>41</v>
      </c>
      <c r="H307" s="158"/>
      <c r="I307" s="22"/>
      <c r="J307" s="177">
        <f>25</f>
        <v>25</v>
      </c>
      <c r="K307" s="177"/>
      <c r="L307" s="177"/>
      <c r="M307" s="177"/>
      <c r="N307" s="177"/>
      <c r="O307" s="120"/>
      <c r="P307" s="96">
        <f>SUM(J307:N307)</f>
        <v>25</v>
      </c>
      <c r="Q307" s="97">
        <f>IF(C307=2016, P307/3,P307)+O307</f>
        <v>25</v>
      </c>
      <c r="R307" s="22"/>
      <c r="S307" s="177"/>
      <c r="T307" s="177"/>
      <c r="U307" s="177"/>
      <c r="V307" s="177"/>
      <c r="W307" s="177"/>
      <c r="X307" s="177"/>
      <c r="Z307" s="95"/>
      <c r="AA307" s="96">
        <f>SUM(S307:Y307)</f>
        <v>0</v>
      </c>
      <c r="AB307" s="97">
        <f>IF(C307=2015, AA307/3,AA307)+Z307</f>
        <v>0</v>
      </c>
    </row>
    <row r="308" spans="1:28" x14ac:dyDescent="0.25">
      <c r="A308" s="71" t="s">
        <v>341</v>
      </c>
      <c r="B308" s="71" t="s">
        <v>7</v>
      </c>
      <c r="C308" s="72">
        <v>2012</v>
      </c>
      <c r="D308" s="1">
        <f>Q308+G308+F308+H308+E308</f>
        <v>22</v>
      </c>
      <c r="F308" s="50">
        <f>22</f>
        <v>22</v>
      </c>
      <c r="H308" s="158"/>
      <c r="I308" s="22"/>
      <c r="O308" s="120"/>
      <c r="P308" s="96"/>
      <c r="Q308" s="97"/>
      <c r="R308" s="22"/>
      <c r="Z308" s="95"/>
      <c r="AA308" s="96"/>
      <c r="AB308" s="97"/>
    </row>
    <row r="309" spans="1:28" x14ac:dyDescent="0.25">
      <c r="A309" s="71" t="s">
        <v>860</v>
      </c>
      <c r="B309" s="71" t="s">
        <v>86</v>
      </c>
      <c r="C309" s="72">
        <v>2012</v>
      </c>
      <c r="D309" s="1">
        <f>Q309+G309+F309+H309+E309</f>
        <v>39</v>
      </c>
      <c r="F309" s="177">
        <f>22+14+3</f>
        <v>39</v>
      </c>
      <c r="G309" s="177"/>
      <c r="H309" s="158"/>
      <c r="I309" s="22"/>
      <c r="J309" s="177"/>
      <c r="K309" s="177"/>
      <c r="L309" s="177"/>
      <c r="M309" s="177"/>
      <c r="N309" s="177"/>
      <c r="O309" s="120"/>
      <c r="P309" s="96"/>
      <c r="Q309" s="97"/>
      <c r="R309" s="22"/>
      <c r="S309" s="177"/>
      <c r="T309" s="177"/>
      <c r="U309" s="177"/>
      <c r="V309" s="177"/>
      <c r="W309" s="177"/>
      <c r="X309" s="177"/>
      <c r="Z309" s="95"/>
      <c r="AA309" s="96"/>
      <c r="AB309" s="97"/>
    </row>
    <row r="310" spans="1:28" x14ac:dyDescent="0.25">
      <c r="A310" s="71" t="s">
        <v>897</v>
      </c>
      <c r="B310" s="71" t="s">
        <v>63</v>
      </c>
      <c r="C310" s="72">
        <v>2013</v>
      </c>
      <c r="D310" s="1">
        <f>Q310+G310+F310+H310+E310</f>
        <v>40</v>
      </c>
      <c r="E310" s="177">
        <f>40</f>
        <v>40</v>
      </c>
      <c r="H310" s="158"/>
      <c r="I310" s="22"/>
      <c r="O310" s="120"/>
      <c r="P310" s="96"/>
      <c r="Q310" s="97"/>
      <c r="R310" s="22"/>
      <c r="Z310" s="95"/>
      <c r="AA310" s="96"/>
      <c r="AB310" s="97"/>
    </row>
    <row r="311" spans="1:28" x14ac:dyDescent="0.25">
      <c r="A311" s="71" t="s">
        <v>772</v>
      </c>
      <c r="B311" s="71" t="s">
        <v>298</v>
      </c>
      <c r="C311" s="72">
        <v>2013</v>
      </c>
      <c r="D311" s="1">
        <f>Q311+G311+F311+H311+E311</f>
        <v>11</v>
      </c>
      <c r="F311" s="177"/>
      <c r="G311" s="177">
        <f>11</f>
        <v>11</v>
      </c>
      <c r="H311" s="158"/>
      <c r="I311" s="22"/>
      <c r="J311" s="177"/>
      <c r="K311" s="177"/>
      <c r="L311" s="177"/>
      <c r="M311" s="177"/>
      <c r="N311" s="177"/>
      <c r="O311" s="120"/>
      <c r="P311" s="96"/>
      <c r="Q311" s="97"/>
      <c r="R311" s="22"/>
      <c r="S311" s="177"/>
      <c r="T311" s="177"/>
      <c r="U311" s="177"/>
      <c r="V311" s="177"/>
      <c r="W311" s="177"/>
      <c r="X311" s="177"/>
      <c r="Z311" s="95"/>
      <c r="AA311" s="96"/>
      <c r="AB311" s="97"/>
    </row>
    <row r="312" spans="1:28" x14ac:dyDescent="0.25">
      <c r="A312" s="71" t="s">
        <v>739</v>
      </c>
      <c r="B312" s="71" t="s">
        <v>6</v>
      </c>
      <c r="C312" s="72">
        <v>2015</v>
      </c>
      <c r="D312" s="1">
        <f>Q312+G312+F312+H312+E312</f>
        <v>6</v>
      </c>
      <c r="E312" s="177">
        <f>0</f>
        <v>0</v>
      </c>
      <c r="F312" s="177"/>
      <c r="G312" s="177"/>
      <c r="H312" s="158"/>
      <c r="I312" s="22"/>
      <c r="J312" s="177">
        <f>6</f>
        <v>6</v>
      </c>
      <c r="K312" s="177"/>
      <c r="L312" s="177"/>
      <c r="M312" s="177"/>
      <c r="N312" s="177"/>
      <c r="O312" s="120"/>
      <c r="P312" s="96">
        <f>SUM(J312:N312)</f>
        <v>6</v>
      </c>
      <c r="Q312" s="97">
        <f>IF(C312=2016, P312/3,P312)+O312</f>
        <v>6</v>
      </c>
      <c r="R312" s="22"/>
      <c r="S312" s="177"/>
      <c r="T312" s="177"/>
      <c r="U312" s="177"/>
      <c r="V312" s="177"/>
      <c r="W312" s="177"/>
      <c r="X312" s="177"/>
      <c r="Z312" s="95"/>
      <c r="AA312" s="96">
        <f>SUM(S312:Y312)</f>
        <v>0</v>
      </c>
      <c r="AB312" s="97">
        <f>IF(C312=2015, AA312/3,AA312)+Z312</f>
        <v>0</v>
      </c>
    </row>
    <row r="313" spans="1:28" x14ac:dyDescent="0.25">
      <c r="A313" s="11" t="s">
        <v>830</v>
      </c>
      <c r="B313" s="60" t="s">
        <v>590</v>
      </c>
      <c r="C313" s="62">
        <v>2013</v>
      </c>
      <c r="D313" s="1">
        <f>Q313+G313+F313+H313+E313</f>
        <v>3</v>
      </c>
      <c r="G313" s="50">
        <f>3</f>
        <v>3</v>
      </c>
      <c r="H313" s="158"/>
      <c r="I313" s="22"/>
      <c r="O313" s="120"/>
      <c r="P313" s="96"/>
      <c r="Q313" s="97"/>
      <c r="R313" s="22"/>
      <c r="Z313" s="95"/>
      <c r="AA313" s="96"/>
      <c r="AB313" s="97"/>
    </row>
    <row r="314" spans="1:28" x14ac:dyDescent="0.25">
      <c r="A314" s="11" t="s">
        <v>876</v>
      </c>
      <c r="B314" s="60" t="s">
        <v>482</v>
      </c>
      <c r="C314" s="62">
        <v>2013</v>
      </c>
      <c r="D314" s="1">
        <f>Q314+G314+F314+H314+E314</f>
        <v>3</v>
      </c>
      <c r="F314" s="173">
        <f>2+1</f>
        <v>3</v>
      </c>
      <c r="G314" s="173"/>
      <c r="H314" s="158"/>
      <c r="I314" s="22"/>
      <c r="J314" s="173"/>
      <c r="K314" s="173"/>
      <c r="L314" s="173"/>
      <c r="M314" s="173"/>
      <c r="N314" s="173"/>
      <c r="O314" s="120"/>
      <c r="P314" s="96"/>
      <c r="Q314" s="97"/>
      <c r="R314" s="22"/>
      <c r="S314" s="173"/>
      <c r="T314" s="173"/>
      <c r="U314" s="173"/>
      <c r="V314" s="173"/>
      <c r="W314" s="173"/>
      <c r="X314" s="173"/>
      <c r="Z314" s="95"/>
      <c r="AA314" s="96"/>
      <c r="AB314" s="97"/>
    </row>
    <row r="315" spans="1:28" x14ac:dyDescent="0.25">
      <c r="A315" s="11" t="s">
        <v>786</v>
      </c>
      <c r="B315" s="60" t="s">
        <v>86</v>
      </c>
      <c r="C315" s="62">
        <v>2012</v>
      </c>
      <c r="D315" s="1">
        <f>Q315+G315+F315+H315+E315</f>
        <v>27</v>
      </c>
      <c r="F315" s="50">
        <f>15+9+3</f>
        <v>27</v>
      </c>
      <c r="G315" s="50">
        <f>0</f>
        <v>0</v>
      </c>
      <c r="H315" s="158"/>
      <c r="I315" s="22"/>
      <c r="O315" s="120"/>
      <c r="P315" s="96"/>
      <c r="Q315" s="97"/>
      <c r="R315" s="22"/>
      <c r="Z315" s="95"/>
      <c r="AA315" s="96"/>
      <c r="AB315" s="97"/>
    </row>
    <row r="316" spans="1:28" x14ac:dyDescent="0.25">
      <c r="A316" s="11" t="s">
        <v>896</v>
      </c>
      <c r="B316" s="60" t="s">
        <v>409</v>
      </c>
      <c r="C316" s="62">
        <v>2012</v>
      </c>
      <c r="D316" s="1">
        <f>Q316+G316+F316+H316+E316</f>
        <v>57</v>
      </c>
      <c r="E316" s="177">
        <f>43+14</f>
        <v>57</v>
      </c>
      <c r="F316" s="177"/>
      <c r="G316" s="177"/>
      <c r="H316" s="158"/>
      <c r="I316" s="22"/>
      <c r="J316" s="177"/>
      <c r="K316" s="177"/>
      <c r="L316" s="177"/>
      <c r="M316" s="177"/>
      <c r="N316" s="177"/>
      <c r="O316" s="120"/>
      <c r="P316" s="96"/>
      <c r="Q316" s="97"/>
      <c r="R316" s="22"/>
      <c r="S316" s="177"/>
      <c r="T316" s="177"/>
      <c r="U316" s="177"/>
      <c r="V316" s="177"/>
      <c r="W316" s="177"/>
      <c r="X316" s="177"/>
      <c r="Z316" s="95"/>
      <c r="AA316" s="96"/>
      <c r="AB316" s="97"/>
    </row>
    <row r="317" spans="1:28" x14ac:dyDescent="0.25">
      <c r="A317" s="11" t="s">
        <v>853</v>
      </c>
      <c r="B317" s="60" t="s">
        <v>63</v>
      </c>
      <c r="C317" s="62">
        <v>2016</v>
      </c>
      <c r="D317" s="1">
        <f>Q317+G317+F317+H317+E317</f>
        <v>0</v>
      </c>
      <c r="F317" s="50">
        <f>0</f>
        <v>0</v>
      </c>
      <c r="H317" s="158"/>
      <c r="I317" s="22"/>
      <c r="O317" s="120"/>
      <c r="P317" s="96"/>
      <c r="Q317" s="97"/>
      <c r="R317" s="22"/>
      <c r="Z317" s="95"/>
      <c r="AA317" s="96"/>
      <c r="AB317" s="97"/>
    </row>
    <row r="318" spans="1:28" x14ac:dyDescent="0.25">
      <c r="A318" s="11" t="s">
        <v>781</v>
      </c>
      <c r="B318" s="60" t="s">
        <v>63</v>
      </c>
      <c r="C318" s="62">
        <v>2014</v>
      </c>
      <c r="D318" s="1">
        <f>Q318+G318+F318+H318+E318</f>
        <v>0</v>
      </c>
      <c r="G318" s="50">
        <f>0</f>
        <v>0</v>
      </c>
      <c r="H318" s="158"/>
      <c r="I318" s="22"/>
      <c r="O318" s="120"/>
      <c r="P318" s="96"/>
      <c r="Q318" s="97"/>
      <c r="R318" s="22"/>
      <c r="Z318" s="95"/>
      <c r="AA318" s="96"/>
      <c r="AB318" s="97"/>
    </row>
    <row r="319" spans="1:28" x14ac:dyDescent="0.25">
      <c r="A319" s="11" t="s">
        <v>881</v>
      </c>
      <c r="B319" s="60" t="s">
        <v>482</v>
      </c>
      <c r="C319" s="62">
        <v>2012</v>
      </c>
      <c r="D319" s="1">
        <f>Q319+G319+F319+H319+E319</f>
        <v>1</v>
      </c>
      <c r="F319" s="173">
        <f>1</f>
        <v>1</v>
      </c>
      <c r="G319" s="173"/>
      <c r="H319" s="158"/>
      <c r="I319" s="22"/>
      <c r="J319" s="173"/>
      <c r="K319" s="173"/>
      <c r="L319" s="173"/>
      <c r="M319" s="173"/>
      <c r="N319" s="173"/>
      <c r="O319" s="120"/>
      <c r="P319" s="96"/>
      <c r="Q319" s="97"/>
      <c r="R319" s="22"/>
      <c r="S319" s="173"/>
      <c r="T319" s="173"/>
      <c r="U319" s="173"/>
      <c r="V319" s="173"/>
      <c r="W319" s="173"/>
      <c r="X319" s="173"/>
      <c r="Z319" s="95"/>
      <c r="AA319" s="96"/>
      <c r="AB319" s="97"/>
    </row>
    <row r="320" spans="1:28" x14ac:dyDescent="0.25">
      <c r="A320" s="11" t="s">
        <v>904</v>
      </c>
      <c r="B320" s="11" t="s">
        <v>298</v>
      </c>
      <c r="C320" s="3">
        <v>2012</v>
      </c>
      <c r="D320" s="1">
        <f>Q320+G320+F320+H320+E320</f>
        <v>0</v>
      </c>
      <c r="E320" s="177">
        <f>0</f>
        <v>0</v>
      </c>
      <c r="F320" s="177"/>
      <c r="G320" s="177"/>
      <c r="H320" s="182"/>
      <c r="I320" s="182"/>
      <c r="J320" s="177"/>
      <c r="K320" s="177"/>
      <c r="L320" s="177"/>
      <c r="M320" s="177"/>
      <c r="N320" s="177"/>
      <c r="O320" s="182"/>
      <c r="S320" s="177"/>
      <c r="T320" s="177"/>
      <c r="U320" s="177"/>
      <c r="V320" s="177"/>
      <c r="W320" s="177"/>
      <c r="X320" s="177"/>
    </row>
    <row r="321" spans="1:28" x14ac:dyDescent="0.25">
      <c r="A321" s="11" t="s">
        <v>912</v>
      </c>
      <c r="B321" s="11" t="s">
        <v>63</v>
      </c>
      <c r="C321" s="3">
        <v>2014</v>
      </c>
      <c r="D321" s="1">
        <f>Q321+G321+F321+H321+E321</f>
        <v>0</v>
      </c>
      <c r="E321" s="177">
        <f>0</f>
        <v>0</v>
      </c>
    </row>
    <row r="322" spans="1:28" x14ac:dyDescent="0.25">
      <c r="A322" s="11" t="s">
        <v>913</v>
      </c>
      <c r="B322" s="60" t="s">
        <v>298</v>
      </c>
      <c r="C322" s="62">
        <v>2013</v>
      </c>
      <c r="D322" s="1">
        <f>Q322+G322+F322+H322+E322</f>
        <v>0</v>
      </c>
      <c r="E322" s="177">
        <f>0</f>
        <v>0</v>
      </c>
      <c r="H322" s="158"/>
      <c r="I322" s="22"/>
      <c r="O322" s="120"/>
      <c r="P322" s="96"/>
      <c r="Q322" s="97"/>
      <c r="R322" s="22"/>
      <c r="Z322" s="95"/>
      <c r="AA322" s="96"/>
      <c r="AB322" s="97"/>
    </row>
  </sheetData>
  <autoFilter ref="B1:B322" xr:uid="{00000000-0001-0000-0100-000000000000}"/>
  <sortState xmlns:xlrd2="http://schemas.microsoft.com/office/spreadsheetml/2017/richdata2" ref="A217:AU322">
    <sortCondition ref="A217:A322"/>
  </sortState>
  <mergeCells count="6">
    <mergeCell ref="A5:C5"/>
    <mergeCell ref="A33:C33"/>
    <mergeCell ref="A216:C216"/>
    <mergeCell ref="A1:C2"/>
    <mergeCell ref="S3:Y3"/>
    <mergeCell ref="F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667"/>
  <sheetViews>
    <sheetView zoomScale="106" zoomScaleNormal="106" workbookViewId="0">
      <pane xSplit="4" ySplit="4" topLeftCell="E11" activePane="bottomRight" state="frozen"/>
      <selection pane="topRight" activeCell="E1" sqref="E1"/>
      <selection pane="bottomLeft" activeCell="A3" sqref="A3"/>
      <selection pane="bottomRight" activeCell="A20" sqref="A20:XFD20"/>
    </sheetView>
  </sheetViews>
  <sheetFormatPr defaultRowHeight="15" x14ac:dyDescent="0.25"/>
  <cols>
    <col min="1" max="1" width="19.7109375" style="11" bestFit="1" customWidth="1"/>
    <col min="2" max="2" width="23.5703125" style="11" bestFit="1" customWidth="1"/>
    <col min="3" max="3" width="8.140625" style="3" bestFit="1" customWidth="1"/>
    <col min="4" max="4" width="12.140625" style="7" customWidth="1"/>
    <col min="5" max="7" width="12.42578125" style="108" customWidth="1"/>
    <col min="8" max="8" width="10.5703125" style="108" customWidth="1"/>
    <col min="9" max="9" width="3.7109375" style="13" customWidth="1"/>
    <col min="10" max="10" width="12.42578125" style="108" customWidth="1"/>
    <col min="11" max="15" width="10.5703125" style="108" customWidth="1"/>
    <col min="16" max="16" width="8.5703125" style="3" customWidth="1"/>
    <col min="17" max="17" width="9.5703125" style="3" customWidth="1"/>
    <col min="18" max="18" width="3.7109375" style="13" customWidth="1"/>
    <col min="19" max="19" width="8.85546875" style="13" customWidth="1"/>
    <col min="20" max="24" width="10.5703125" style="13" customWidth="1"/>
    <col min="25" max="25" width="8.85546875" style="13" customWidth="1"/>
    <col min="26" max="26" width="10.42578125" style="13" customWidth="1"/>
    <col min="27" max="27" width="8.5703125" style="3" customWidth="1"/>
    <col min="28" max="28" width="9.5703125" style="3" customWidth="1"/>
    <col min="29" max="16384" width="9.140625" style="3"/>
  </cols>
  <sheetData>
    <row r="1" spans="1:28" ht="15" customHeight="1" x14ac:dyDescent="0.5">
      <c r="A1" s="192" t="s">
        <v>61</v>
      </c>
      <c r="B1" s="193"/>
      <c r="C1" s="210"/>
      <c r="D1" s="55"/>
      <c r="E1" s="106"/>
      <c r="F1" s="106"/>
      <c r="G1" s="106"/>
      <c r="H1" s="106"/>
      <c r="I1" s="56"/>
      <c r="J1" s="106"/>
      <c r="K1" s="106"/>
      <c r="L1" s="106"/>
      <c r="M1" s="106"/>
      <c r="N1" s="106"/>
      <c r="O1" s="106"/>
      <c r="R1" s="56"/>
      <c r="S1" s="55"/>
      <c r="T1" s="55"/>
      <c r="U1" s="55"/>
      <c r="V1" s="55"/>
      <c r="W1" s="55"/>
      <c r="X1" s="55"/>
      <c r="Y1" s="55"/>
      <c r="Z1" s="55"/>
    </row>
    <row r="2" spans="1:28" ht="15" customHeight="1" x14ac:dyDescent="0.5">
      <c r="A2" s="194"/>
      <c r="B2" s="195"/>
      <c r="C2" s="211"/>
      <c r="D2" s="55"/>
      <c r="E2" s="106"/>
      <c r="F2" s="106"/>
      <c r="G2" s="106"/>
      <c r="H2" s="106"/>
      <c r="I2" s="56"/>
      <c r="J2" s="106"/>
      <c r="K2" s="106"/>
      <c r="L2" s="106"/>
      <c r="M2" s="106"/>
      <c r="N2" s="106"/>
      <c r="O2" s="106"/>
      <c r="R2" s="56"/>
      <c r="S2" s="55"/>
      <c r="T2" s="55"/>
      <c r="U2" s="55"/>
      <c r="V2" s="55"/>
      <c r="W2" s="55"/>
      <c r="X2" s="55"/>
      <c r="Y2" s="55"/>
      <c r="Z2" s="55"/>
    </row>
    <row r="3" spans="1:28" s="6" customFormat="1" x14ac:dyDescent="0.25">
      <c r="A3" s="9"/>
      <c r="B3" s="9"/>
      <c r="D3" s="8"/>
      <c r="E3" s="179"/>
      <c r="F3" s="212">
        <v>2024</v>
      </c>
      <c r="G3" s="213"/>
      <c r="H3" s="107"/>
      <c r="I3" s="8"/>
      <c r="J3" s="107"/>
      <c r="K3" s="107"/>
      <c r="L3" s="107"/>
      <c r="M3" s="107">
        <v>2023</v>
      </c>
      <c r="N3" s="107"/>
      <c r="O3" s="107"/>
      <c r="R3" s="8"/>
      <c r="S3" s="202">
        <v>2022</v>
      </c>
      <c r="T3" s="204"/>
      <c r="U3" s="75"/>
      <c r="V3" s="75"/>
      <c r="W3" s="75"/>
      <c r="X3" s="75"/>
      <c r="Y3" s="33"/>
      <c r="Z3" s="44"/>
    </row>
    <row r="4" spans="1:28" s="5" customFormat="1" ht="107.25" customHeight="1" x14ac:dyDescent="0.25">
      <c r="A4" s="5" t="s">
        <v>1</v>
      </c>
      <c r="B4" s="10" t="s">
        <v>2</v>
      </c>
      <c r="C4" s="5" t="s">
        <v>3</v>
      </c>
      <c r="D4" s="49" t="s">
        <v>886</v>
      </c>
      <c r="E4" s="184" t="s">
        <v>885</v>
      </c>
      <c r="F4" s="150" t="s">
        <v>293</v>
      </c>
      <c r="G4" s="150" t="s">
        <v>4</v>
      </c>
      <c r="H4" s="119" t="s">
        <v>5</v>
      </c>
      <c r="I4" s="143"/>
      <c r="J4" s="141" t="s">
        <v>395</v>
      </c>
      <c r="K4" s="116" t="s">
        <v>229</v>
      </c>
      <c r="L4" s="116" t="s">
        <v>293</v>
      </c>
      <c r="M4" s="116" t="s">
        <v>4</v>
      </c>
      <c r="N4" s="105" t="s">
        <v>549</v>
      </c>
      <c r="O4" s="119" t="s">
        <v>5</v>
      </c>
      <c r="P4" s="96" t="s">
        <v>546</v>
      </c>
      <c r="Q4" s="97" t="s">
        <v>547</v>
      </c>
      <c r="R4" s="42"/>
      <c r="S4" s="44" t="s">
        <v>4</v>
      </c>
      <c r="T4" s="59" t="s">
        <v>62</v>
      </c>
      <c r="U4" s="73" t="s">
        <v>229</v>
      </c>
      <c r="V4" s="79" t="s">
        <v>293</v>
      </c>
      <c r="W4" s="81" t="s">
        <v>395</v>
      </c>
      <c r="X4" s="93" t="s">
        <v>466</v>
      </c>
      <c r="Y4" s="33" t="s">
        <v>34</v>
      </c>
      <c r="Z4" s="95" t="s">
        <v>5</v>
      </c>
      <c r="AA4" s="96" t="s">
        <v>546</v>
      </c>
      <c r="AB4" s="97" t="s">
        <v>547</v>
      </c>
    </row>
    <row r="5" spans="1:28" x14ac:dyDescent="0.25">
      <c r="A5" s="207" t="s">
        <v>13</v>
      </c>
      <c r="B5" s="208"/>
      <c r="C5" s="209"/>
      <c r="D5" s="23"/>
      <c r="H5" s="122"/>
      <c r="I5" s="144"/>
      <c r="O5" s="122"/>
      <c r="P5" s="96"/>
      <c r="Q5" s="97"/>
      <c r="R5" s="91"/>
      <c r="S5" s="34"/>
      <c r="T5" s="37"/>
      <c r="U5" s="57"/>
      <c r="V5" s="69"/>
      <c r="W5" s="78"/>
      <c r="X5" s="88"/>
      <c r="Y5" s="34"/>
      <c r="Z5" s="95"/>
      <c r="AA5" s="96"/>
      <c r="AB5" s="97"/>
    </row>
    <row r="6" spans="1:28" x14ac:dyDescent="0.25">
      <c r="A6" s="11" t="s">
        <v>266</v>
      </c>
      <c r="B6" s="11" t="s">
        <v>0</v>
      </c>
      <c r="C6" s="3">
        <v>2012</v>
      </c>
      <c r="D6" s="2">
        <f>Q6+G6+F6+E6</f>
        <v>865</v>
      </c>
      <c r="E6" s="108">
        <f>9+21+6+9</f>
        <v>45</v>
      </c>
      <c r="F6" s="108">
        <f>12+12+15+9</f>
        <v>48</v>
      </c>
      <c r="G6" s="108">
        <f>9+3+3</f>
        <v>15</v>
      </c>
      <c r="H6" s="122"/>
      <c r="I6" s="144"/>
      <c r="J6" s="108">
        <f>12+12</f>
        <v>24</v>
      </c>
      <c r="K6" s="108">
        <f>18</f>
        <v>18</v>
      </c>
      <c r="L6" s="108">
        <f>147+75</f>
        <v>222</v>
      </c>
      <c r="M6" s="108">
        <f>18+57+3+3</f>
        <v>81</v>
      </c>
      <c r="N6" s="108">
        <f>AB6</f>
        <v>412</v>
      </c>
      <c r="O6" s="122"/>
      <c r="P6" s="96">
        <f>SUM(J6:N6)</f>
        <v>757</v>
      </c>
      <c r="Q6" s="97">
        <f>IF(C6=2016, P6/3,P6)+O6</f>
        <v>757</v>
      </c>
      <c r="R6" s="91"/>
      <c r="U6" s="13">
        <f>21+15</f>
        <v>36</v>
      </c>
      <c r="V6" s="13">
        <f>36+24</f>
        <v>60</v>
      </c>
      <c r="W6" s="13">
        <f>12+45</f>
        <v>57</v>
      </c>
      <c r="X6" s="13">
        <f>30+72+3+3</f>
        <v>108</v>
      </c>
      <c r="Y6" s="13">
        <f>151</f>
        <v>151</v>
      </c>
      <c r="Z6" s="95"/>
      <c r="AA6" s="96">
        <f>SUM(S6:Y6)</f>
        <v>412</v>
      </c>
      <c r="AB6" s="97">
        <f>IF(C6=2015, AA6/3,AA6)+Z6</f>
        <v>412</v>
      </c>
    </row>
    <row r="7" spans="1:28" s="17" customFormat="1" x14ac:dyDescent="0.25">
      <c r="A7" s="199"/>
      <c r="B7" s="200"/>
      <c r="C7" s="201"/>
      <c r="D7" s="181"/>
      <c r="E7" s="160"/>
      <c r="F7" s="160"/>
      <c r="G7" s="160"/>
      <c r="H7" s="108"/>
      <c r="I7" s="144"/>
      <c r="J7" s="108"/>
      <c r="K7" s="108"/>
      <c r="L7" s="108"/>
      <c r="M7" s="108"/>
      <c r="N7" s="108"/>
      <c r="O7" s="108"/>
      <c r="P7" s="68"/>
      <c r="Q7" s="68"/>
      <c r="R7" s="144"/>
      <c r="S7" s="41"/>
      <c r="T7" s="41"/>
      <c r="U7" s="41"/>
      <c r="V7" s="41"/>
      <c r="W7" s="41"/>
      <c r="X7" s="41"/>
      <c r="Y7" s="41"/>
      <c r="Z7" s="68"/>
      <c r="AA7" s="68"/>
      <c r="AB7" s="68"/>
    </row>
    <row r="8" spans="1:28" s="17" customFormat="1" x14ac:dyDescent="0.25">
      <c r="A8" s="76" t="s">
        <v>497</v>
      </c>
      <c r="B8" s="71" t="s">
        <v>494</v>
      </c>
      <c r="C8" s="3">
        <v>2014</v>
      </c>
      <c r="D8" s="2">
        <f>Q8+G8+F8+E8</f>
        <v>68</v>
      </c>
      <c r="E8" s="108">
        <f>3</f>
        <v>3</v>
      </c>
      <c r="F8" s="108">
        <f>6</f>
        <v>6</v>
      </c>
      <c r="G8" s="108">
        <f>6</f>
        <v>6</v>
      </c>
      <c r="H8" s="122"/>
      <c r="I8" s="144"/>
      <c r="J8" s="108"/>
      <c r="K8" s="108">
        <f>3</f>
        <v>3</v>
      </c>
      <c r="L8" s="108">
        <f>50</f>
        <v>50</v>
      </c>
      <c r="M8" s="108"/>
      <c r="N8" s="108">
        <f>AB8</f>
        <v>0</v>
      </c>
      <c r="O8" s="122"/>
      <c r="P8" s="96">
        <f>SUM(J8:N8)</f>
        <v>53</v>
      </c>
      <c r="Q8" s="97">
        <f>IF(C8=2016, P8/3,P8)+O8</f>
        <v>53</v>
      </c>
      <c r="R8" s="91"/>
      <c r="S8" s="41"/>
      <c r="T8" s="41"/>
      <c r="U8" s="41"/>
      <c r="V8" s="41"/>
      <c r="W8" s="41"/>
      <c r="X8" s="41">
        <f>0</f>
        <v>0</v>
      </c>
      <c r="Y8" s="41"/>
      <c r="Z8" s="95"/>
      <c r="AA8" s="96">
        <f>SUM(S8:Y8)</f>
        <v>0</v>
      </c>
      <c r="AB8" s="97">
        <f>IF(C8=2015, AA8/3,AA8)+Z8</f>
        <v>0</v>
      </c>
    </row>
    <row r="9" spans="1:28" x14ac:dyDescent="0.25">
      <c r="A9" s="11" t="s">
        <v>269</v>
      </c>
      <c r="B9" s="11" t="s">
        <v>6</v>
      </c>
      <c r="C9" s="3">
        <v>2013</v>
      </c>
      <c r="D9" s="2">
        <f>Q9+G9+F9+E9</f>
        <v>59</v>
      </c>
      <c r="H9" s="122"/>
      <c r="I9" s="144"/>
      <c r="L9" s="108">
        <f>32</f>
        <v>32</v>
      </c>
      <c r="M9" s="108">
        <f>0</f>
        <v>0</v>
      </c>
      <c r="N9" s="108">
        <f>AB9</f>
        <v>27</v>
      </c>
      <c r="O9" s="122"/>
      <c r="P9" s="96">
        <f>SUM(J9:N9)</f>
        <v>59</v>
      </c>
      <c r="Q9" s="97">
        <f>IF(C9=2016, P9/3,P9)+O9</f>
        <v>59</v>
      </c>
      <c r="R9" s="91"/>
      <c r="U9" s="13">
        <f>6</f>
        <v>6</v>
      </c>
      <c r="W9" s="13">
        <f>4</f>
        <v>4</v>
      </c>
      <c r="X9" s="13">
        <f>0</f>
        <v>0</v>
      </c>
      <c r="Y9" s="13">
        <f>17</f>
        <v>17</v>
      </c>
      <c r="Z9" s="95"/>
      <c r="AA9" s="96">
        <f>SUM(S9:Y9)</f>
        <v>27</v>
      </c>
      <c r="AB9" s="97">
        <f>IF(C9=2015, AA9/3,AA9)+Z9</f>
        <v>27</v>
      </c>
    </row>
    <row r="10" spans="1:28" s="17" customFormat="1" x14ac:dyDescent="0.25">
      <c r="A10" s="76" t="s">
        <v>635</v>
      </c>
      <c r="B10" s="71" t="s">
        <v>605</v>
      </c>
      <c r="C10" s="3"/>
      <c r="D10" s="2">
        <f>Q10+G10+F10+E10</f>
        <v>6</v>
      </c>
      <c r="E10" s="108"/>
      <c r="F10" s="108"/>
      <c r="G10" s="108"/>
      <c r="H10" s="122"/>
      <c r="I10" s="144"/>
      <c r="J10" s="108"/>
      <c r="K10" s="108"/>
      <c r="L10" s="108">
        <f>6</f>
        <v>6</v>
      </c>
      <c r="M10" s="108"/>
      <c r="N10" s="108"/>
      <c r="O10" s="122"/>
      <c r="P10" s="96">
        <f>SUM(J10:N10)</f>
        <v>6</v>
      </c>
      <c r="Q10" s="97">
        <f>IF(C10=2016, P10/3,P10)+O10</f>
        <v>6</v>
      </c>
      <c r="R10" s="114"/>
      <c r="S10" s="41"/>
      <c r="T10" s="41"/>
      <c r="U10" s="41"/>
      <c r="V10" s="41"/>
      <c r="W10" s="41"/>
      <c r="X10" s="41"/>
      <c r="Y10" s="41"/>
      <c r="Z10" s="95"/>
      <c r="AA10" s="96"/>
      <c r="AB10" s="97"/>
    </row>
    <row r="11" spans="1:28" x14ac:dyDescent="0.25">
      <c r="A11" s="11" t="s">
        <v>271</v>
      </c>
      <c r="B11" s="11" t="s">
        <v>8</v>
      </c>
      <c r="C11" s="3">
        <v>2013</v>
      </c>
      <c r="D11" s="2">
        <f>Q11+G11+F11+E11</f>
        <v>0</v>
      </c>
      <c r="H11" s="122"/>
      <c r="I11" s="144"/>
      <c r="L11" s="108">
        <f>0</f>
        <v>0</v>
      </c>
      <c r="N11" s="108">
        <f>AB11</f>
        <v>0</v>
      </c>
      <c r="O11" s="122"/>
      <c r="P11" s="96">
        <f>SUM(J11:N11)</f>
        <v>0</v>
      </c>
      <c r="Q11" s="97">
        <f>IF(C11=2016, P11/3,P11)+O11</f>
        <v>0</v>
      </c>
      <c r="R11" s="91"/>
      <c r="U11" s="13">
        <f>0</f>
        <v>0</v>
      </c>
      <c r="V11" s="13">
        <f>0</f>
        <v>0</v>
      </c>
      <c r="W11" s="13">
        <f>0</f>
        <v>0</v>
      </c>
      <c r="Y11" s="13">
        <f>0</f>
        <v>0</v>
      </c>
      <c r="Z11" s="95"/>
      <c r="AA11" s="96">
        <f>SUM(S11:Y11)</f>
        <v>0</v>
      </c>
      <c r="AB11" s="97">
        <f>IF(C11=2015, AA11/3,AA11)+Z11</f>
        <v>0</v>
      </c>
    </row>
    <row r="12" spans="1:28" s="52" customFormat="1" x14ac:dyDescent="0.25">
      <c r="A12" s="11" t="s">
        <v>107</v>
      </c>
      <c r="B12" s="11" t="s">
        <v>64</v>
      </c>
      <c r="C12" s="3">
        <v>2012</v>
      </c>
      <c r="D12" s="2">
        <f>Q12+G12+F12+E12</f>
        <v>17</v>
      </c>
      <c r="E12" s="108"/>
      <c r="F12" s="108"/>
      <c r="G12" s="108"/>
      <c r="H12" s="122"/>
      <c r="I12" s="144"/>
      <c r="J12" s="108"/>
      <c r="K12" s="108"/>
      <c r="L12" s="108"/>
      <c r="M12" s="108"/>
      <c r="N12" s="108">
        <f>AB12</f>
        <v>17</v>
      </c>
      <c r="O12" s="122"/>
      <c r="P12" s="96">
        <f>SUM(J12:N12)</f>
        <v>17</v>
      </c>
      <c r="Q12" s="97">
        <f>IF(C12=2016, P12/3,P12)+O12</f>
        <v>17</v>
      </c>
      <c r="R12" s="91"/>
      <c r="S12" s="13"/>
      <c r="T12" s="13">
        <v>12</v>
      </c>
      <c r="U12" s="13"/>
      <c r="V12" s="13"/>
      <c r="W12" s="13"/>
      <c r="X12" s="13"/>
      <c r="Y12" s="13">
        <f>5</f>
        <v>5</v>
      </c>
      <c r="Z12" s="95"/>
      <c r="AA12" s="96">
        <f>SUM(S12:Y12)</f>
        <v>17</v>
      </c>
      <c r="AB12" s="97">
        <f>IF(C12=2015, AA12/3,AA12)+Z12</f>
        <v>17</v>
      </c>
    </row>
    <row r="13" spans="1:28" s="52" customFormat="1" x14ac:dyDescent="0.25">
      <c r="A13" s="11" t="s">
        <v>29</v>
      </c>
      <c r="B13" s="11" t="s">
        <v>8</v>
      </c>
      <c r="C13" s="3">
        <v>2013</v>
      </c>
      <c r="D13" s="2">
        <f>Q13+G13+F13+E13</f>
        <v>9</v>
      </c>
      <c r="E13" s="108"/>
      <c r="F13" s="108"/>
      <c r="G13" s="108"/>
      <c r="H13" s="122"/>
      <c r="I13" s="144"/>
      <c r="J13" s="108"/>
      <c r="K13" s="108"/>
      <c r="L13" s="108"/>
      <c r="M13" s="108"/>
      <c r="N13" s="108">
        <f>AB13</f>
        <v>9</v>
      </c>
      <c r="O13" s="122"/>
      <c r="P13" s="96">
        <f>SUM(J13:N13)</f>
        <v>9</v>
      </c>
      <c r="Q13" s="97">
        <f>IF(C13=2016, P13/3,P13)+O13</f>
        <v>9</v>
      </c>
      <c r="R13" s="91"/>
      <c r="S13" s="50">
        <f>0</f>
        <v>0</v>
      </c>
      <c r="T13" s="50"/>
      <c r="U13" s="50"/>
      <c r="V13" s="50"/>
      <c r="W13" s="50"/>
      <c r="X13" s="50"/>
      <c r="Y13" s="50">
        <v>9</v>
      </c>
      <c r="Z13" s="95"/>
      <c r="AA13" s="96">
        <f>SUM(S13:Y13)</f>
        <v>9</v>
      </c>
      <c r="AB13" s="97">
        <f>IF(C13=2015, AA13/3,AA13)+Z13</f>
        <v>9</v>
      </c>
    </row>
    <row r="14" spans="1:28" x14ac:dyDescent="0.25">
      <c r="A14" s="11" t="s">
        <v>108</v>
      </c>
      <c r="B14" s="11" t="s">
        <v>41</v>
      </c>
      <c r="C14" s="3">
        <v>2014</v>
      </c>
      <c r="D14" s="2">
        <f>Q14+G14+F14+E14</f>
        <v>164</v>
      </c>
      <c r="E14" s="108">
        <f>0+3</f>
        <v>3</v>
      </c>
      <c r="F14" s="108">
        <f>0+6</f>
        <v>6</v>
      </c>
      <c r="G14" s="108">
        <f>3</f>
        <v>3</v>
      </c>
      <c r="H14" s="122"/>
      <c r="I14" s="144"/>
      <c r="J14" s="108">
        <f>3</f>
        <v>3</v>
      </c>
      <c r="L14" s="108">
        <f>75</f>
        <v>75</v>
      </c>
      <c r="M14" s="108">
        <f>3</f>
        <v>3</v>
      </c>
      <c r="N14" s="108">
        <f>AB14</f>
        <v>71</v>
      </c>
      <c r="O14" s="122"/>
      <c r="P14" s="96">
        <f>SUM(J14:N14)</f>
        <v>152</v>
      </c>
      <c r="Q14" s="97">
        <f>IF(C14=2016, P14/3,P14)+O14</f>
        <v>152</v>
      </c>
      <c r="R14" s="91"/>
      <c r="S14" s="41">
        <f>7</f>
        <v>7</v>
      </c>
      <c r="T14" s="41">
        <f>33</f>
        <v>33</v>
      </c>
      <c r="U14" s="41"/>
      <c r="V14" s="41">
        <f>24</f>
        <v>24</v>
      </c>
      <c r="W14" s="41">
        <f>3</f>
        <v>3</v>
      </c>
      <c r="X14" s="41">
        <f>3</f>
        <v>3</v>
      </c>
      <c r="Y14" s="41">
        <f>1</f>
        <v>1</v>
      </c>
      <c r="Z14" s="95"/>
      <c r="AA14" s="96">
        <f>SUM(S14:Y14)</f>
        <v>71</v>
      </c>
      <c r="AB14" s="97">
        <f>IF(C14=2015, AA14/3,AA14)+Z14</f>
        <v>71</v>
      </c>
    </row>
    <row r="15" spans="1:28" s="17" customFormat="1" x14ac:dyDescent="0.25">
      <c r="A15" s="76" t="s">
        <v>324</v>
      </c>
      <c r="B15" s="71" t="s">
        <v>233</v>
      </c>
      <c r="C15" s="3">
        <v>2012</v>
      </c>
      <c r="D15" s="2">
        <f>Q15+G15+F15+E15</f>
        <v>113</v>
      </c>
      <c r="E15" s="108"/>
      <c r="F15" s="108"/>
      <c r="G15" s="108"/>
      <c r="H15" s="122"/>
      <c r="I15" s="144"/>
      <c r="J15" s="108"/>
      <c r="K15" s="108">
        <f>12</f>
        <v>12</v>
      </c>
      <c r="L15" s="108">
        <f>56</f>
        <v>56</v>
      </c>
      <c r="M15" s="108">
        <f>45</f>
        <v>45</v>
      </c>
      <c r="N15" s="108">
        <f>AB15</f>
        <v>0</v>
      </c>
      <c r="O15" s="122"/>
      <c r="P15" s="96">
        <f>SUM(J15:N15)</f>
        <v>113</v>
      </c>
      <c r="Q15" s="97">
        <f>IF(C15=2016, P15/3,P15)+O15</f>
        <v>113</v>
      </c>
      <c r="R15" s="91"/>
      <c r="S15" s="41"/>
      <c r="T15" s="41"/>
      <c r="U15" s="41"/>
      <c r="V15" s="41">
        <f>0</f>
        <v>0</v>
      </c>
      <c r="W15" s="41"/>
      <c r="X15" s="41"/>
      <c r="Y15" s="41"/>
      <c r="Z15" s="95"/>
      <c r="AA15" s="96">
        <f>SUM(S15:Y15)</f>
        <v>0</v>
      </c>
      <c r="AB15" s="97">
        <f>IF(C15=2015, AA15/3,AA15)+Z15</f>
        <v>0</v>
      </c>
    </row>
    <row r="16" spans="1:28" x14ac:dyDescent="0.25">
      <c r="A16" s="11" t="s">
        <v>267</v>
      </c>
      <c r="B16" s="11" t="s">
        <v>233</v>
      </c>
      <c r="C16" s="3">
        <v>2012</v>
      </c>
      <c r="D16" s="2">
        <f>Q16+G16+F16+E16</f>
        <v>12</v>
      </c>
      <c r="H16" s="122"/>
      <c r="I16" s="144"/>
      <c r="N16" s="108">
        <f>AB16</f>
        <v>12</v>
      </c>
      <c r="O16" s="122"/>
      <c r="P16" s="96">
        <f>SUM(J16:N16)</f>
        <v>12</v>
      </c>
      <c r="Q16" s="97">
        <f>IF(C16=2016, P16/3,P16)+O16</f>
        <v>12</v>
      </c>
      <c r="R16" s="91"/>
      <c r="U16" s="13">
        <f>12</f>
        <v>12</v>
      </c>
      <c r="V16" s="13">
        <f>0</f>
        <v>0</v>
      </c>
      <c r="Y16" s="13">
        <v>0</v>
      </c>
      <c r="Z16" s="95"/>
      <c r="AA16" s="96">
        <f>SUM(S16:Y16)</f>
        <v>12</v>
      </c>
      <c r="AB16" s="97">
        <f>IF(C16=2015, AA16/3,AA16)+Z16</f>
        <v>12</v>
      </c>
    </row>
    <row r="17" spans="1:28" s="17" customFormat="1" x14ac:dyDescent="0.25">
      <c r="A17" s="76" t="s">
        <v>552</v>
      </c>
      <c r="B17" s="71" t="s">
        <v>64</v>
      </c>
      <c r="C17" s="3">
        <v>2013</v>
      </c>
      <c r="D17" s="2">
        <f>Q17+G17+F17+E17</f>
        <v>39</v>
      </c>
      <c r="E17" s="108"/>
      <c r="F17" s="108"/>
      <c r="G17" s="108"/>
      <c r="H17" s="122"/>
      <c r="I17" s="144"/>
      <c r="J17" s="108"/>
      <c r="K17" s="108"/>
      <c r="L17" s="108"/>
      <c r="M17" s="108">
        <f>39</f>
        <v>39</v>
      </c>
      <c r="N17" s="108"/>
      <c r="O17" s="122"/>
      <c r="P17" s="96">
        <f>SUM(J17:N17)</f>
        <v>39</v>
      </c>
      <c r="Q17" s="97">
        <f>IF(C17=2016, P17/3,P17)+O17</f>
        <v>39</v>
      </c>
      <c r="R17" s="112"/>
      <c r="S17" s="41"/>
      <c r="T17" s="41"/>
      <c r="U17" s="41"/>
      <c r="V17" s="41"/>
      <c r="W17" s="41"/>
      <c r="X17" s="41"/>
      <c r="Y17" s="41"/>
      <c r="Z17" s="95"/>
      <c r="AA17" s="96"/>
      <c r="AB17" s="97"/>
    </row>
    <row r="18" spans="1:28" x14ac:dyDescent="0.25">
      <c r="A18" s="76" t="s">
        <v>268</v>
      </c>
      <c r="B18" s="71" t="s">
        <v>233</v>
      </c>
      <c r="D18" s="2">
        <f>Q18+G18+F18+E18</f>
        <v>42</v>
      </c>
      <c r="H18" s="122"/>
      <c r="I18" s="144"/>
      <c r="N18" s="108">
        <f>AB18</f>
        <v>42</v>
      </c>
      <c r="O18" s="122"/>
      <c r="P18" s="96">
        <f>SUM(J18:N18)</f>
        <v>42</v>
      </c>
      <c r="Q18" s="97">
        <f>IF(C18=2016, P18/3,P18)+O18</f>
        <v>42</v>
      </c>
      <c r="R18" s="91"/>
      <c r="U18" s="13">
        <f>9</f>
        <v>9</v>
      </c>
      <c r="V18" s="13">
        <f>33</f>
        <v>33</v>
      </c>
      <c r="Z18" s="95"/>
      <c r="AA18" s="96">
        <f>SUM(S18:Y18)</f>
        <v>42</v>
      </c>
      <c r="AB18" s="97">
        <f>IF(C18=2015, AA18/3,AA18)+Z18</f>
        <v>42</v>
      </c>
    </row>
    <row r="19" spans="1:28" x14ac:dyDescent="0.25">
      <c r="A19" s="11" t="s">
        <v>16</v>
      </c>
      <c r="B19" s="11" t="s">
        <v>0</v>
      </c>
      <c r="C19" s="3">
        <v>2013</v>
      </c>
      <c r="D19" s="2">
        <f>Q19+G19+F19+E19</f>
        <v>199</v>
      </c>
      <c r="E19" s="108">
        <f>6+9</f>
        <v>15</v>
      </c>
      <c r="F19" s="108">
        <f>3+9</f>
        <v>12</v>
      </c>
      <c r="G19" s="108">
        <f>0+6</f>
        <v>6</v>
      </c>
      <c r="H19" s="122"/>
      <c r="I19" s="144"/>
      <c r="J19" s="108">
        <f>9</f>
        <v>9</v>
      </c>
      <c r="K19" s="108">
        <f>15</f>
        <v>15</v>
      </c>
      <c r="L19" s="108">
        <f>26</f>
        <v>26</v>
      </c>
      <c r="M19" s="108">
        <f>6+3</f>
        <v>9</v>
      </c>
      <c r="N19" s="108">
        <f>AB19</f>
        <v>107</v>
      </c>
      <c r="O19" s="122"/>
      <c r="P19" s="96">
        <f>SUM(J19:N19)</f>
        <v>166</v>
      </c>
      <c r="Q19" s="97">
        <f>IF(C19=2016, P19/3,P19)+O19</f>
        <v>166</v>
      </c>
      <c r="R19" s="91"/>
      <c r="S19" s="50">
        <f>3</f>
        <v>3</v>
      </c>
      <c r="T19" s="50"/>
      <c r="U19" s="50">
        <f>15</f>
        <v>15</v>
      </c>
      <c r="V19" s="50">
        <f>15</f>
        <v>15</v>
      </c>
      <c r="W19" s="50">
        <f>9</f>
        <v>9</v>
      </c>
      <c r="X19" s="50">
        <f>24+3</f>
        <v>27</v>
      </c>
      <c r="Y19" s="50">
        <v>38</v>
      </c>
      <c r="Z19" s="95"/>
      <c r="AA19" s="96">
        <f>SUM(S19:Y19)</f>
        <v>107</v>
      </c>
      <c r="AB19" s="97">
        <f>IF(C19=2015, AA19/3,AA19)+Z19</f>
        <v>107</v>
      </c>
    </row>
    <row r="20" spans="1:28" x14ac:dyDescent="0.25">
      <c r="A20" s="45" t="s">
        <v>688</v>
      </c>
      <c r="B20" s="66" t="s">
        <v>0</v>
      </c>
      <c r="C20" s="46">
        <v>2016</v>
      </c>
      <c r="D20" s="2">
        <f>Q20+G20+F20+E20</f>
        <v>52</v>
      </c>
      <c r="E20" s="108">
        <f>7+15</f>
        <v>22</v>
      </c>
      <c r="F20" s="108">
        <f>5</f>
        <v>5</v>
      </c>
      <c r="G20" s="108">
        <f>4</f>
        <v>4</v>
      </c>
      <c r="H20" s="122"/>
      <c r="I20" s="101"/>
      <c r="J20" s="108">
        <f>9</f>
        <v>9</v>
      </c>
      <c r="K20" s="108">
        <f>12</f>
        <v>12</v>
      </c>
      <c r="O20" s="122"/>
      <c r="P20" s="3">
        <f>SUM(J20:N20)</f>
        <v>21</v>
      </c>
      <c r="Q20" s="3">
        <f>P20</f>
        <v>21</v>
      </c>
      <c r="R20" s="101"/>
      <c r="S20" s="41"/>
      <c r="T20" s="41"/>
      <c r="U20" s="41"/>
      <c r="V20" s="41"/>
      <c r="W20" s="41"/>
      <c r="X20" s="41"/>
      <c r="Z20" s="3"/>
    </row>
    <row r="21" spans="1:28" x14ac:dyDescent="0.25">
      <c r="A21" s="76" t="s">
        <v>629</v>
      </c>
      <c r="B21" s="71" t="s">
        <v>605</v>
      </c>
      <c r="D21" s="2">
        <f>Q21+G21+F21+E21</f>
        <v>48</v>
      </c>
      <c r="H21" s="122"/>
      <c r="I21" s="144"/>
      <c r="L21" s="108">
        <f>48</f>
        <v>48</v>
      </c>
      <c r="O21" s="122"/>
      <c r="P21" s="96">
        <f>SUM(J21:N21)</f>
        <v>48</v>
      </c>
      <c r="Q21" s="97">
        <f>IF(C21=2016, P21/3,P21)+O21</f>
        <v>48</v>
      </c>
      <c r="R21" s="114"/>
      <c r="Z21" s="95"/>
      <c r="AA21" s="96"/>
      <c r="AB21" s="97"/>
    </row>
    <row r="22" spans="1:28" x14ac:dyDescent="0.25">
      <c r="A22" s="71" t="s">
        <v>299</v>
      </c>
      <c r="B22" s="71" t="s">
        <v>112</v>
      </c>
      <c r="C22" s="72">
        <v>2015</v>
      </c>
      <c r="D22" s="2">
        <f>Q22+G22+F22+E22</f>
        <v>2.6666666666666665</v>
      </c>
      <c r="E22" s="177"/>
      <c r="F22" s="50"/>
      <c r="G22" s="50"/>
      <c r="H22" s="120"/>
      <c r="I22" s="101"/>
      <c r="J22" s="50"/>
      <c r="K22" s="50"/>
      <c r="L22" s="50"/>
      <c r="M22" s="50"/>
      <c r="N22" s="50">
        <f>AB22</f>
        <v>2.6666666666666665</v>
      </c>
      <c r="O22" s="120"/>
      <c r="P22" s="96">
        <f>SUM(J22:N22)</f>
        <v>2.6666666666666665</v>
      </c>
      <c r="Q22" s="97">
        <f>IF(C22=2016, P22/3,P22)+O22</f>
        <v>2.6666666666666665</v>
      </c>
      <c r="R22" s="101"/>
      <c r="S22" s="41"/>
      <c r="T22" s="41"/>
      <c r="U22" s="41">
        <f>3+1</f>
        <v>4</v>
      </c>
      <c r="V22" s="41">
        <f>0+4</f>
        <v>4</v>
      </c>
      <c r="W22" s="41"/>
      <c r="X22" s="41"/>
      <c r="Z22" s="95"/>
      <c r="AA22" s="96">
        <f>SUM(S22:Y22)</f>
        <v>8</v>
      </c>
      <c r="AB22" s="97">
        <f>IF(C22=2015, AA22/3,AA22)+Z22</f>
        <v>2.6666666666666665</v>
      </c>
    </row>
    <row r="23" spans="1:28" x14ac:dyDescent="0.25">
      <c r="A23" s="71" t="s">
        <v>300</v>
      </c>
      <c r="B23" s="71" t="s">
        <v>233</v>
      </c>
      <c r="C23" s="72">
        <v>2015</v>
      </c>
      <c r="D23" s="2">
        <f>Q23+G23+F23+E23</f>
        <v>0</v>
      </c>
      <c r="H23" s="122"/>
      <c r="I23" s="101"/>
      <c r="N23" s="108">
        <f>AB23</f>
        <v>0</v>
      </c>
      <c r="O23" s="122"/>
      <c r="P23" s="96">
        <f>SUM(J23:N23)</f>
        <v>0</v>
      </c>
      <c r="Q23" s="97">
        <f>IF(C23=2016, P23/3,P23)+O23</f>
        <v>0</v>
      </c>
      <c r="R23" s="101"/>
      <c r="S23" s="41"/>
      <c r="T23" s="41"/>
      <c r="U23" s="41">
        <f>0</f>
        <v>0</v>
      </c>
      <c r="V23" s="41"/>
      <c r="W23" s="41"/>
      <c r="X23" s="41"/>
      <c r="Y23" s="3"/>
      <c r="Z23" s="95"/>
      <c r="AA23" s="96">
        <f>SUM(S23:Y23)</f>
        <v>0</v>
      </c>
      <c r="AB23" s="97">
        <f>IF(C23=2015, AA23/3,AA23)+Z23</f>
        <v>0</v>
      </c>
    </row>
    <row r="24" spans="1:28" x14ac:dyDescent="0.25">
      <c r="A24" s="45" t="s">
        <v>77</v>
      </c>
      <c r="B24" s="66" t="s">
        <v>63</v>
      </c>
      <c r="C24" s="46">
        <v>2016</v>
      </c>
      <c r="D24" s="2">
        <f>Q24+G24+F24+E24</f>
        <v>3</v>
      </c>
      <c r="H24" s="122"/>
      <c r="I24" s="101"/>
      <c r="N24" s="108">
        <f>AB24</f>
        <v>9</v>
      </c>
      <c r="O24" s="122"/>
      <c r="P24" s="96">
        <f>SUM(J24:N24)</f>
        <v>9</v>
      </c>
      <c r="Q24" s="97">
        <f>IF(C24=2016, P24/3,P24)+O24</f>
        <v>3</v>
      </c>
      <c r="R24" s="101"/>
      <c r="S24" s="41"/>
      <c r="T24" s="41">
        <v>6</v>
      </c>
      <c r="U24" s="41"/>
      <c r="V24" s="41">
        <f>3</f>
        <v>3</v>
      </c>
      <c r="W24" s="41"/>
      <c r="X24" s="41"/>
      <c r="Y24" s="17"/>
      <c r="Z24" s="3"/>
      <c r="AA24" s="3">
        <f>SUM(S24:Z24)</f>
        <v>9</v>
      </c>
      <c r="AB24" s="3">
        <f>AA24</f>
        <v>9</v>
      </c>
    </row>
    <row r="25" spans="1:28" x14ac:dyDescent="0.25">
      <c r="A25" s="11" t="s">
        <v>109</v>
      </c>
      <c r="B25" s="11" t="s">
        <v>41</v>
      </c>
      <c r="C25" s="3">
        <v>2014</v>
      </c>
      <c r="D25" s="2">
        <f>Q25+G25+F25+E25</f>
        <v>0</v>
      </c>
      <c r="H25" s="122"/>
      <c r="I25" s="181"/>
      <c r="N25" s="108">
        <f>AB25</f>
        <v>0</v>
      </c>
      <c r="O25" s="122"/>
      <c r="P25" s="96">
        <f>SUM(J25:N25)</f>
        <v>0</v>
      </c>
      <c r="Q25" s="97">
        <f>IF(C25=2016, P25/3,P25)+O25</f>
        <v>0</v>
      </c>
      <c r="R25" s="181"/>
      <c r="S25" s="41">
        <f>0</f>
        <v>0</v>
      </c>
      <c r="T25" s="41">
        <f>0</f>
        <v>0</v>
      </c>
      <c r="U25" s="41"/>
      <c r="V25" s="41">
        <f>0</f>
        <v>0</v>
      </c>
      <c r="W25" s="41"/>
      <c r="X25" s="41"/>
      <c r="Y25" s="41">
        <f>0</f>
        <v>0</v>
      </c>
      <c r="Z25" s="95"/>
      <c r="AA25" s="96">
        <f>SUM(S25:Y25)</f>
        <v>0</v>
      </c>
      <c r="AB25" s="97">
        <f>IF(C25=2015, AA25/3,AA25)+Z25</f>
        <v>0</v>
      </c>
    </row>
    <row r="26" spans="1:28" x14ac:dyDescent="0.25">
      <c r="A26" s="45" t="s">
        <v>82</v>
      </c>
      <c r="B26" s="66" t="s">
        <v>36</v>
      </c>
      <c r="C26" s="46">
        <v>2015</v>
      </c>
      <c r="D26" s="2">
        <f>Q26+G26+F26+E26</f>
        <v>30.666666666666668</v>
      </c>
      <c r="H26" s="122"/>
      <c r="I26" s="101"/>
      <c r="K26" s="108">
        <f>0</f>
        <v>0</v>
      </c>
      <c r="L26" s="108">
        <f>12</f>
        <v>12</v>
      </c>
      <c r="M26" s="108">
        <f>12</f>
        <v>12</v>
      </c>
      <c r="N26" s="108">
        <f>AB26</f>
        <v>6.666666666666667</v>
      </c>
      <c r="O26" s="122"/>
      <c r="P26" s="96">
        <f>SUM(J26:N26)</f>
        <v>30.666666666666668</v>
      </c>
      <c r="Q26" s="97">
        <f>IF(C26=2016, P26/3,P26)+O26</f>
        <v>30.666666666666668</v>
      </c>
      <c r="R26" s="101"/>
      <c r="S26" s="41">
        <f>0</f>
        <v>0</v>
      </c>
      <c r="T26" s="41"/>
      <c r="U26" s="41"/>
      <c r="V26" s="41">
        <f>6</f>
        <v>6</v>
      </c>
      <c r="W26" s="41">
        <f>14</f>
        <v>14</v>
      </c>
      <c r="X26" s="41">
        <f>0</f>
        <v>0</v>
      </c>
      <c r="Y26" s="3"/>
      <c r="Z26" s="95">
        <v>0</v>
      </c>
      <c r="AA26" s="96">
        <f>SUM(S26:Y26)</f>
        <v>20</v>
      </c>
      <c r="AB26" s="97">
        <f>IF(C26=2015, AA26/3,AA26)+Z26</f>
        <v>6.666666666666667</v>
      </c>
    </row>
    <row r="27" spans="1:28" x14ac:dyDescent="0.25">
      <c r="A27" s="11" t="s">
        <v>110</v>
      </c>
      <c r="B27" s="11" t="s">
        <v>87</v>
      </c>
      <c r="C27" s="3">
        <v>2012</v>
      </c>
      <c r="D27" s="2">
        <f>Q27+G27+F27+E27</f>
        <v>42</v>
      </c>
      <c r="H27" s="122"/>
      <c r="I27" s="144"/>
      <c r="N27" s="108">
        <f>AB27</f>
        <v>42</v>
      </c>
      <c r="O27" s="122"/>
      <c r="P27" s="96">
        <f>SUM(J27:N27)</f>
        <v>42</v>
      </c>
      <c r="Q27" s="97">
        <f>IF(C27=2016, P27/3,P27)+O27</f>
        <v>42</v>
      </c>
      <c r="R27" s="91"/>
      <c r="T27" s="13">
        <v>9</v>
      </c>
      <c r="V27" s="13">
        <f>15</f>
        <v>15</v>
      </c>
      <c r="X27" s="13">
        <f>18</f>
        <v>18</v>
      </c>
      <c r="Z27" s="95"/>
      <c r="AA27" s="96">
        <f>SUM(S27:Y27)</f>
        <v>42</v>
      </c>
      <c r="AB27" s="97">
        <f>IF(C27=2015, AA27/3,AA27)+Z27</f>
        <v>42</v>
      </c>
    </row>
    <row r="28" spans="1:28" x14ac:dyDescent="0.25">
      <c r="A28" s="11" t="s">
        <v>412</v>
      </c>
      <c r="B28" s="11" t="s">
        <v>41</v>
      </c>
      <c r="C28" s="3">
        <v>2014</v>
      </c>
      <c r="D28" s="2">
        <f>Q28+G28+F28+E28</f>
        <v>28</v>
      </c>
      <c r="H28" s="122"/>
      <c r="I28" s="144"/>
      <c r="M28" s="108">
        <f>18</f>
        <v>18</v>
      </c>
      <c r="N28" s="108">
        <f>AB28</f>
        <v>10</v>
      </c>
      <c r="O28" s="122"/>
      <c r="P28" s="96">
        <f>SUM(J28:N28)</f>
        <v>28</v>
      </c>
      <c r="Q28" s="97">
        <f>IF(C28=2016, P28/3,P28)+O28</f>
        <v>28</v>
      </c>
      <c r="R28" s="91"/>
      <c r="W28" s="13">
        <f>10</f>
        <v>10</v>
      </c>
      <c r="Z28" s="95"/>
      <c r="AA28" s="96">
        <f>SUM(S28:Y28)</f>
        <v>10</v>
      </c>
      <c r="AB28" s="97">
        <f>IF(C28=2015, AA28/3,AA28)+Z28</f>
        <v>10</v>
      </c>
    </row>
    <row r="29" spans="1:28" s="17" customFormat="1" x14ac:dyDescent="0.25">
      <c r="A29" s="199"/>
      <c r="B29" s="200"/>
      <c r="C29" s="201"/>
      <c r="D29" s="181"/>
      <c r="E29" s="108"/>
      <c r="F29" s="108"/>
      <c r="G29" s="108"/>
      <c r="H29" s="108"/>
      <c r="I29" s="144"/>
      <c r="J29" s="108"/>
      <c r="K29" s="108"/>
      <c r="L29" s="108"/>
      <c r="M29" s="108"/>
      <c r="N29" s="108"/>
      <c r="O29" s="108"/>
      <c r="P29" s="68"/>
      <c r="Q29" s="68"/>
      <c r="R29" s="144"/>
      <c r="S29" s="41"/>
      <c r="T29" s="41"/>
      <c r="U29" s="41"/>
      <c r="V29" s="41"/>
      <c r="W29" s="41"/>
      <c r="X29" s="41"/>
      <c r="Y29" s="41"/>
      <c r="Z29" s="68"/>
      <c r="AA29" s="68"/>
      <c r="AB29" s="68"/>
    </row>
    <row r="30" spans="1:28" s="17" customFormat="1" x14ac:dyDescent="0.25">
      <c r="A30" s="76" t="s">
        <v>761</v>
      </c>
      <c r="B30" s="71" t="s">
        <v>233</v>
      </c>
      <c r="C30" s="3">
        <v>2013</v>
      </c>
      <c r="D30" s="2">
        <f>Q30+G30+F30+E30</f>
        <v>0</v>
      </c>
      <c r="E30" s="108"/>
      <c r="F30" s="108"/>
      <c r="G30" s="108"/>
      <c r="H30" s="122"/>
      <c r="I30" s="144"/>
      <c r="J30" s="108">
        <f>0</f>
        <v>0</v>
      </c>
      <c r="K30" s="108"/>
      <c r="L30" s="108"/>
      <c r="M30" s="108"/>
      <c r="N30" s="108"/>
      <c r="O30" s="122"/>
      <c r="P30" s="96">
        <f>SUM(J30:N30)</f>
        <v>0</v>
      </c>
      <c r="Q30" s="97">
        <f>IF(C30=2016, P30/3,P30)+O30</f>
        <v>0</v>
      </c>
      <c r="R30" s="139"/>
      <c r="S30" s="41"/>
      <c r="T30" s="41"/>
      <c r="U30" s="41"/>
      <c r="V30" s="41"/>
      <c r="W30" s="41"/>
      <c r="X30" s="41"/>
      <c r="Y30" s="41"/>
      <c r="Z30" s="95"/>
      <c r="AA30" s="96"/>
      <c r="AB30" s="97"/>
    </row>
    <row r="31" spans="1:28" s="17" customFormat="1" x14ac:dyDescent="0.25">
      <c r="A31" s="76" t="s">
        <v>782</v>
      </c>
      <c r="B31" s="71" t="s">
        <v>63</v>
      </c>
      <c r="C31" s="3">
        <v>2014</v>
      </c>
      <c r="D31" s="2">
        <f>Q31+G31+F31+E31</f>
        <v>13</v>
      </c>
      <c r="E31" s="108">
        <f>6+4</f>
        <v>10</v>
      </c>
      <c r="F31" s="108">
        <f>1</f>
        <v>1</v>
      </c>
      <c r="G31" s="108">
        <f>2</f>
        <v>2</v>
      </c>
      <c r="H31" s="122"/>
      <c r="I31" s="156"/>
      <c r="J31" s="108"/>
      <c r="K31" s="108"/>
      <c r="L31" s="108"/>
      <c r="M31" s="108"/>
      <c r="N31" s="108"/>
      <c r="O31" s="122"/>
      <c r="P31" s="96"/>
      <c r="Q31" s="97"/>
      <c r="R31" s="156"/>
      <c r="S31" s="41"/>
      <c r="T31" s="41"/>
      <c r="U31" s="41"/>
      <c r="V31" s="41"/>
      <c r="W31" s="41"/>
      <c r="X31" s="41"/>
      <c r="Y31" s="41"/>
      <c r="Z31" s="161"/>
      <c r="AA31" s="96"/>
      <c r="AB31" s="97"/>
    </row>
    <row r="32" spans="1:28" s="17" customFormat="1" x14ac:dyDescent="0.25">
      <c r="A32" s="76" t="s">
        <v>915</v>
      </c>
      <c r="B32" s="71" t="s">
        <v>0</v>
      </c>
      <c r="C32" s="3">
        <v>2014</v>
      </c>
      <c r="D32" s="2">
        <f>Q32+G32+F32+E32</f>
        <v>3</v>
      </c>
      <c r="E32" s="108">
        <f>3</f>
        <v>3</v>
      </c>
      <c r="F32" s="108"/>
      <c r="G32" s="108"/>
      <c r="H32" s="122"/>
      <c r="I32" s="175"/>
      <c r="J32" s="108"/>
      <c r="K32" s="108"/>
      <c r="L32" s="108"/>
      <c r="M32" s="108"/>
      <c r="N32" s="108"/>
      <c r="O32" s="122"/>
      <c r="P32" s="96"/>
      <c r="Q32" s="97"/>
      <c r="R32" s="175"/>
      <c r="S32" s="41"/>
      <c r="T32" s="41"/>
      <c r="U32" s="41"/>
      <c r="V32" s="41"/>
      <c r="W32" s="41"/>
      <c r="X32" s="41"/>
      <c r="Y32" s="41"/>
      <c r="Z32" s="161"/>
      <c r="AA32" s="96"/>
      <c r="AB32" s="97"/>
    </row>
    <row r="33" spans="1:28" s="17" customFormat="1" x14ac:dyDescent="0.25">
      <c r="A33" s="76" t="s">
        <v>783</v>
      </c>
      <c r="B33" s="71" t="s">
        <v>63</v>
      </c>
      <c r="C33" s="3">
        <v>2014</v>
      </c>
      <c r="D33" s="2">
        <f>Q33+G33+F33+E33</f>
        <v>13</v>
      </c>
      <c r="E33" s="108">
        <f>5+4</f>
        <v>9</v>
      </c>
      <c r="F33" s="108">
        <f>3</f>
        <v>3</v>
      </c>
      <c r="G33" s="108">
        <f>1</f>
        <v>1</v>
      </c>
      <c r="H33" s="122"/>
      <c r="I33" s="156"/>
      <c r="J33" s="108"/>
      <c r="K33" s="108"/>
      <c r="L33" s="108"/>
      <c r="M33" s="108"/>
      <c r="N33" s="108"/>
      <c r="O33" s="122"/>
      <c r="P33" s="96"/>
      <c r="Q33" s="97"/>
      <c r="R33" s="156"/>
      <c r="S33" s="41"/>
      <c r="T33" s="41"/>
      <c r="U33" s="41"/>
      <c r="V33" s="41"/>
      <c r="W33" s="41"/>
      <c r="X33" s="41"/>
      <c r="Y33" s="41"/>
      <c r="Z33" s="161"/>
      <c r="AA33" s="96"/>
      <c r="AB33" s="97"/>
    </row>
    <row r="34" spans="1:28" x14ac:dyDescent="0.25">
      <c r="A34" s="11" t="s">
        <v>723</v>
      </c>
      <c r="B34" s="11" t="s">
        <v>63</v>
      </c>
      <c r="C34" s="3">
        <v>2016</v>
      </c>
      <c r="D34" s="2">
        <f>Q34+G34+F34+E34</f>
        <v>9</v>
      </c>
      <c r="E34" s="108">
        <f>2</f>
        <v>2</v>
      </c>
      <c r="F34" s="108">
        <f>4</f>
        <v>4</v>
      </c>
      <c r="G34" s="108">
        <f>3</f>
        <v>3</v>
      </c>
      <c r="H34" s="122"/>
      <c r="I34" s="101"/>
      <c r="J34" s="108">
        <f>0</f>
        <v>0</v>
      </c>
      <c r="O34" s="122"/>
      <c r="P34" s="96">
        <f>SUM(J34:N34)</f>
        <v>0</v>
      </c>
      <c r="Q34" s="97">
        <f>IF(C34=2016, P34/3,P34)+O34</f>
        <v>0</v>
      </c>
      <c r="R34" s="101"/>
      <c r="S34" s="41"/>
      <c r="T34" s="41"/>
      <c r="U34" s="41"/>
      <c r="V34" s="41"/>
      <c r="W34" s="41"/>
      <c r="X34" s="41"/>
      <c r="Y34" s="41"/>
      <c r="Z34" s="74"/>
    </row>
    <row r="35" spans="1:28" x14ac:dyDescent="0.25">
      <c r="A35" s="11" t="s">
        <v>914</v>
      </c>
      <c r="B35" s="11" t="s">
        <v>0</v>
      </c>
      <c r="C35" s="3">
        <v>2013</v>
      </c>
      <c r="D35" s="2">
        <f>Q35+G35+F35+E35</f>
        <v>4</v>
      </c>
      <c r="E35" s="108">
        <f>4</f>
        <v>4</v>
      </c>
      <c r="H35" s="122"/>
      <c r="I35" s="101"/>
      <c r="O35" s="122"/>
      <c r="P35" s="96"/>
      <c r="Q35" s="97"/>
      <c r="R35" s="101"/>
      <c r="S35" s="41"/>
      <c r="T35" s="41"/>
      <c r="U35" s="41"/>
      <c r="V35" s="41"/>
      <c r="W35" s="41"/>
      <c r="X35" s="41"/>
      <c r="Y35" s="41"/>
      <c r="Z35" s="74"/>
    </row>
    <row r="36" spans="1:28" x14ac:dyDescent="0.25">
      <c r="A36" s="11" t="s">
        <v>855</v>
      </c>
      <c r="B36" s="11" t="s">
        <v>0</v>
      </c>
      <c r="C36" s="3">
        <v>2014</v>
      </c>
      <c r="D36" s="2">
        <f>Q36+G36+F36+E36</f>
        <v>3</v>
      </c>
      <c r="E36" s="108">
        <f>1</f>
        <v>1</v>
      </c>
      <c r="F36" s="108">
        <f>2</f>
        <v>2</v>
      </c>
      <c r="H36" s="122"/>
      <c r="I36" s="101"/>
      <c r="O36" s="122"/>
      <c r="P36" s="96"/>
      <c r="Q36" s="97"/>
      <c r="R36" s="101"/>
      <c r="S36" s="41"/>
      <c r="T36" s="41"/>
      <c r="U36" s="41"/>
      <c r="V36" s="41"/>
      <c r="W36" s="41"/>
      <c r="X36" s="41"/>
      <c r="Y36" s="41"/>
      <c r="Z36" s="74"/>
    </row>
    <row r="37" spans="1:28" x14ac:dyDescent="0.25">
      <c r="A37" s="11" t="s">
        <v>784</v>
      </c>
      <c r="B37" s="11" t="s">
        <v>63</v>
      </c>
      <c r="C37" s="3">
        <v>2013</v>
      </c>
      <c r="D37" s="2">
        <f>Q37+G37+F37+E37</f>
        <v>1</v>
      </c>
      <c r="E37" s="108">
        <f>0</f>
        <v>0</v>
      </c>
      <c r="F37" s="108">
        <f>0+1</f>
        <v>1</v>
      </c>
      <c r="G37" s="108">
        <f>0</f>
        <v>0</v>
      </c>
      <c r="H37" s="122"/>
    </row>
    <row r="38" spans="1:28" x14ac:dyDescent="0.25">
      <c r="D38" s="13"/>
    </row>
    <row r="39" spans="1:28" x14ac:dyDescent="0.25">
      <c r="D39" s="13"/>
    </row>
    <row r="40" spans="1:28" x14ac:dyDescent="0.25">
      <c r="D40" s="13"/>
    </row>
    <row r="41" spans="1:28" x14ac:dyDescent="0.25">
      <c r="D41" s="13"/>
    </row>
    <row r="42" spans="1:28" x14ac:dyDescent="0.25">
      <c r="D42" s="13"/>
    </row>
    <row r="43" spans="1:28" x14ac:dyDescent="0.25">
      <c r="D43" s="13"/>
    </row>
    <row r="44" spans="1:28" x14ac:dyDescent="0.25">
      <c r="D44" s="13"/>
    </row>
    <row r="45" spans="1:28" x14ac:dyDescent="0.25">
      <c r="D45" s="13"/>
    </row>
    <row r="46" spans="1:28" x14ac:dyDescent="0.25">
      <c r="D46" s="13"/>
    </row>
    <row r="47" spans="1:28" x14ac:dyDescent="0.25">
      <c r="D47" s="13"/>
    </row>
    <row r="48" spans="1:28" x14ac:dyDescent="0.25">
      <c r="D48" s="13"/>
    </row>
    <row r="49" spans="4:4" x14ac:dyDescent="0.25">
      <c r="D49" s="13"/>
    </row>
    <row r="50" spans="4:4" x14ac:dyDescent="0.25">
      <c r="D50" s="13"/>
    </row>
    <row r="51" spans="4:4" x14ac:dyDescent="0.25">
      <c r="D51" s="13"/>
    </row>
    <row r="52" spans="4:4" x14ac:dyDescent="0.25">
      <c r="D52" s="13"/>
    </row>
    <row r="53" spans="4:4" x14ac:dyDescent="0.25">
      <c r="D53" s="13"/>
    </row>
    <row r="54" spans="4:4" x14ac:dyDescent="0.25">
      <c r="D54" s="13"/>
    </row>
    <row r="55" spans="4:4" x14ac:dyDescent="0.25">
      <c r="D55" s="13"/>
    </row>
    <row r="56" spans="4:4" x14ac:dyDescent="0.25">
      <c r="D56" s="13"/>
    </row>
    <row r="57" spans="4:4" x14ac:dyDescent="0.25">
      <c r="D57" s="13"/>
    </row>
    <row r="58" spans="4:4" x14ac:dyDescent="0.25">
      <c r="D58" s="13"/>
    </row>
    <row r="59" spans="4:4" x14ac:dyDescent="0.25">
      <c r="D59" s="13"/>
    </row>
    <row r="60" spans="4:4" x14ac:dyDescent="0.25">
      <c r="D60" s="13"/>
    </row>
    <row r="61" spans="4:4" x14ac:dyDescent="0.25">
      <c r="D61" s="13"/>
    </row>
    <row r="62" spans="4:4" x14ac:dyDescent="0.25">
      <c r="D62" s="13"/>
    </row>
    <row r="63" spans="4:4" x14ac:dyDescent="0.25">
      <c r="D63" s="13"/>
    </row>
    <row r="64" spans="4:4" x14ac:dyDescent="0.25">
      <c r="D64" s="13"/>
    </row>
    <row r="65" spans="4:4" x14ac:dyDescent="0.25">
      <c r="D65" s="13"/>
    </row>
    <row r="66" spans="4:4" x14ac:dyDescent="0.25">
      <c r="D66" s="13"/>
    </row>
    <row r="67" spans="4:4" x14ac:dyDescent="0.25">
      <c r="D67" s="13"/>
    </row>
    <row r="68" spans="4:4" x14ac:dyDescent="0.25">
      <c r="D68" s="13"/>
    </row>
    <row r="69" spans="4:4" x14ac:dyDescent="0.25">
      <c r="D69" s="13"/>
    </row>
    <row r="70" spans="4:4" x14ac:dyDescent="0.25">
      <c r="D70" s="13"/>
    </row>
    <row r="71" spans="4:4" x14ac:dyDescent="0.25">
      <c r="D71" s="13"/>
    </row>
    <row r="72" spans="4:4" x14ac:dyDescent="0.25">
      <c r="D72" s="13"/>
    </row>
    <row r="73" spans="4:4" x14ac:dyDescent="0.25">
      <c r="D73" s="13"/>
    </row>
    <row r="74" spans="4:4" x14ac:dyDescent="0.25">
      <c r="D74" s="13"/>
    </row>
    <row r="75" spans="4:4" x14ac:dyDescent="0.25">
      <c r="D75" s="13"/>
    </row>
    <row r="76" spans="4:4" x14ac:dyDescent="0.25">
      <c r="D76" s="13"/>
    </row>
    <row r="77" spans="4:4" x14ac:dyDescent="0.25">
      <c r="D77" s="13"/>
    </row>
    <row r="78" spans="4:4" x14ac:dyDescent="0.25">
      <c r="D78" s="13"/>
    </row>
    <row r="79" spans="4:4" x14ac:dyDescent="0.25">
      <c r="D79" s="13"/>
    </row>
    <row r="80" spans="4:4" x14ac:dyDescent="0.25">
      <c r="D80" s="13"/>
    </row>
    <row r="81" spans="4:4" x14ac:dyDescent="0.25">
      <c r="D81" s="13"/>
    </row>
    <row r="82" spans="4:4" x14ac:dyDescent="0.25">
      <c r="D82" s="13"/>
    </row>
    <row r="83" spans="4:4" x14ac:dyDescent="0.25">
      <c r="D83" s="13"/>
    </row>
    <row r="84" spans="4:4" x14ac:dyDescent="0.25">
      <c r="D84" s="13"/>
    </row>
    <row r="85" spans="4:4" x14ac:dyDescent="0.25">
      <c r="D85" s="13"/>
    </row>
    <row r="86" spans="4:4" x14ac:dyDescent="0.25">
      <c r="D86" s="13"/>
    </row>
    <row r="87" spans="4:4" x14ac:dyDescent="0.25">
      <c r="D87" s="13"/>
    </row>
    <row r="88" spans="4:4" x14ac:dyDescent="0.25">
      <c r="D88" s="13"/>
    </row>
    <row r="89" spans="4:4" x14ac:dyDescent="0.25">
      <c r="D89" s="13"/>
    </row>
    <row r="90" spans="4:4" x14ac:dyDescent="0.25">
      <c r="D90" s="13"/>
    </row>
    <row r="91" spans="4:4" x14ac:dyDescent="0.25">
      <c r="D91" s="13"/>
    </row>
    <row r="92" spans="4:4" x14ac:dyDescent="0.25">
      <c r="D92" s="13"/>
    </row>
    <row r="93" spans="4:4" x14ac:dyDescent="0.25">
      <c r="D93" s="13"/>
    </row>
    <row r="94" spans="4:4" x14ac:dyDescent="0.25">
      <c r="D94" s="13"/>
    </row>
    <row r="95" spans="4:4" x14ac:dyDescent="0.25">
      <c r="D95" s="13"/>
    </row>
    <row r="96" spans="4:4" x14ac:dyDescent="0.25">
      <c r="D96" s="13"/>
    </row>
    <row r="97" spans="4:4" x14ac:dyDescent="0.25">
      <c r="D97" s="13"/>
    </row>
    <row r="98" spans="4:4" x14ac:dyDescent="0.25">
      <c r="D98" s="13"/>
    </row>
    <row r="99" spans="4:4" x14ac:dyDescent="0.25">
      <c r="D99" s="13"/>
    </row>
    <row r="100" spans="4:4" x14ac:dyDescent="0.25">
      <c r="D100" s="13"/>
    </row>
    <row r="101" spans="4:4" x14ac:dyDescent="0.25">
      <c r="D101" s="13"/>
    </row>
    <row r="102" spans="4:4" x14ac:dyDescent="0.25">
      <c r="D102" s="13"/>
    </row>
    <row r="103" spans="4:4" x14ac:dyDescent="0.25">
      <c r="D103" s="13"/>
    </row>
    <row r="104" spans="4:4" x14ac:dyDescent="0.25">
      <c r="D104" s="13"/>
    </row>
    <row r="105" spans="4:4" x14ac:dyDescent="0.25">
      <c r="D105" s="13"/>
    </row>
    <row r="106" spans="4:4" x14ac:dyDescent="0.25">
      <c r="D106" s="13"/>
    </row>
    <row r="107" spans="4:4" x14ac:dyDescent="0.25">
      <c r="D107" s="13"/>
    </row>
    <row r="108" spans="4:4" x14ac:dyDescent="0.25">
      <c r="D108" s="13"/>
    </row>
    <row r="109" spans="4:4" x14ac:dyDescent="0.25">
      <c r="D109" s="13"/>
    </row>
    <row r="110" spans="4:4" x14ac:dyDescent="0.25">
      <c r="D110" s="13"/>
    </row>
    <row r="111" spans="4:4" x14ac:dyDescent="0.25">
      <c r="D111" s="13"/>
    </row>
    <row r="112" spans="4:4" x14ac:dyDescent="0.25">
      <c r="D112" s="13"/>
    </row>
    <row r="113" spans="4:4" x14ac:dyDescent="0.25">
      <c r="D113" s="13"/>
    </row>
    <row r="114" spans="4:4" x14ac:dyDescent="0.25">
      <c r="D114" s="13"/>
    </row>
    <row r="115" spans="4:4" x14ac:dyDescent="0.25">
      <c r="D115" s="13"/>
    </row>
    <row r="116" spans="4:4" x14ac:dyDescent="0.25">
      <c r="D116" s="13"/>
    </row>
    <row r="117" spans="4:4" x14ac:dyDescent="0.25">
      <c r="D117" s="13"/>
    </row>
    <row r="118" spans="4:4" x14ac:dyDescent="0.25">
      <c r="D118" s="13"/>
    </row>
    <row r="119" spans="4:4" x14ac:dyDescent="0.25">
      <c r="D119" s="13"/>
    </row>
    <row r="120" spans="4:4" x14ac:dyDescent="0.25">
      <c r="D120" s="13"/>
    </row>
    <row r="121" spans="4:4" x14ac:dyDescent="0.25">
      <c r="D121" s="13"/>
    </row>
    <row r="122" spans="4:4" x14ac:dyDescent="0.25">
      <c r="D122" s="13"/>
    </row>
    <row r="123" spans="4:4" x14ac:dyDescent="0.25">
      <c r="D123" s="13"/>
    </row>
    <row r="124" spans="4:4" x14ac:dyDescent="0.25">
      <c r="D124" s="13"/>
    </row>
    <row r="125" spans="4:4" x14ac:dyDescent="0.25">
      <c r="D125" s="13"/>
    </row>
    <row r="126" spans="4:4" x14ac:dyDescent="0.25">
      <c r="D126" s="13"/>
    </row>
    <row r="127" spans="4:4" x14ac:dyDescent="0.25">
      <c r="D127" s="13"/>
    </row>
    <row r="128" spans="4:4" x14ac:dyDescent="0.25">
      <c r="D128" s="13"/>
    </row>
    <row r="129" spans="4:4" x14ac:dyDescent="0.25">
      <c r="D129" s="13"/>
    </row>
    <row r="130" spans="4:4" x14ac:dyDescent="0.25">
      <c r="D130" s="13"/>
    </row>
    <row r="131" spans="4:4" x14ac:dyDescent="0.25">
      <c r="D131" s="13"/>
    </row>
    <row r="132" spans="4:4" x14ac:dyDescent="0.25">
      <c r="D132" s="13"/>
    </row>
    <row r="133" spans="4:4" x14ac:dyDescent="0.25">
      <c r="D133" s="13"/>
    </row>
    <row r="134" spans="4:4" x14ac:dyDescent="0.25">
      <c r="D134" s="13"/>
    </row>
    <row r="135" spans="4:4" x14ac:dyDescent="0.25">
      <c r="D135" s="13"/>
    </row>
    <row r="136" spans="4:4" x14ac:dyDescent="0.25">
      <c r="D136" s="13"/>
    </row>
    <row r="137" spans="4:4" x14ac:dyDescent="0.25">
      <c r="D137" s="13"/>
    </row>
    <row r="138" spans="4:4" x14ac:dyDescent="0.25">
      <c r="D138" s="13"/>
    </row>
    <row r="139" spans="4:4" x14ac:dyDescent="0.25">
      <c r="D139" s="13"/>
    </row>
    <row r="140" spans="4:4" x14ac:dyDescent="0.25">
      <c r="D140" s="13"/>
    </row>
    <row r="141" spans="4:4" x14ac:dyDescent="0.25">
      <c r="D141" s="13"/>
    </row>
    <row r="142" spans="4:4" x14ac:dyDescent="0.25">
      <c r="D142" s="13"/>
    </row>
    <row r="143" spans="4:4" x14ac:dyDescent="0.25">
      <c r="D143" s="13"/>
    </row>
    <row r="144" spans="4:4" x14ac:dyDescent="0.25">
      <c r="D144" s="13"/>
    </row>
    <row r="145" spans="4:4" x14ac:dyDescent="0.25">
      <c r="D145" s="13"/>
    </row>
    <row r="146" spans="4:4" x14ac:dyDescent="0.25">
      <c r="D146" s="13"/>
    </row>
    <row r="147" spans="4:4" x14ac:dyDescent="0.25">
      <c r="D147" s="13"/>
    </row>
    <row r="148" spans="4:4" x14ac:dyDescent="0.25">
      <c r="D148" s="13"/>
    </row>
    <row r="149" spans="4:4" x14ac:dyDescent="0.25">
      <c r="D149" s="13"/>
    </row>
    <row r="150" spans="4:4" x14ac:dyDescent="0.25">
      <c r="D150" s="13"/>
    </row>
    <row r="151" spans="4:4" x14ac:dyDescent="0.25">
      <c r="D151" s="13"/>
    </row>
    <row r="152" spans="4:4" x14ac:dyDescent="0.25">
      <c r="D152" s="13"/>
    </row>
    <row r="153" spans="4:4" x14ac:dyDescent="0.25">
      <c r="D153" s="13"/>
    </row>
    <row r="154" spans="4:4" x14ac:dyDescent="0.25">
      <c r="D154" s="13"/>
    </row>
    <row r="155" spans="4:4" x14ac:dyDescent="0.25">
      <c r="D155" s="13"/>
    </row>
    <row r="156" spans="4:4" x14ac:dyDescent="0.25">
      <c r="D156" s="13"/>
    </row>
    <row r="157" spans="4:4" x14ac:dyDescent="0.25">
      <c r="D157" s="13"/>
    </row>
    <row r="158" spans="4:4" x14ac:dyDescent="0.25">
      <c r="D158" s="13"/>
    </row>
    <row r="159" spans="4:4" x14ac:dyDescent="0.25">
      <c r="D159" s="13"/>
    </row>
    <row r="160" spans="4:4" x14ac:dyDescent="0.25">
      <c r="D160" s="13"/>
    </row>
    <row r="161" spans="4:4" x14ac:dyDescent="0.25">
      <c r="D161" s="13"/>
    </row>
    <row r="162" spans="4:4" x14ac:dyDescent="0.25">
      <c r="D162" s="13"/>
    </row>
    <row r="163" spans="4:4" x14ac:dyDescent="0.25">
      <c r="D163" s="13"/>
    </row>
    <row r="164" spans="4:4" x14ac:dyDescent="0.25">
      <c r="D164" s="13"/>
    </row>
    <row r="165" spans="4:4" x14ac:dyDescent="0.25">
      <c r="D165" s="13"/>
    </row>
    <row r="166" spans="4:4" x14ac:dyDescent="0.25">
      <c r="D166" s="13"/>
    </row>
    <row r="167" spans="4:4" x14ac:dyDescent="0.25">
      <c r="D167" s="13"/>
    </row>
    <row r="168" spans="4:4" x14ac:dyDescent="0.25">
      <c r="D168" s="13"/>
    </row>
    <row r="169" spans="4:4" x14ac:dyDescent="0.25">
      <c r="D169" s="13"/>
    </row>
    <row r="170" spans="4:4" x14ac:dyDescent="0.25">
      <c r="D170" s="13"/>
    </row>
    <row r="171" spans="4:4" x14ac:dyDescent="0.25">
      <c r="D171" s="13"/>
    </row>
    <row r="172" spans="4:4" x14ac:dyDescent="0.25">
      <c r="D172" s="13"/>
    </row>
    <row r="173" spans="4:4" x14ac:dyDescent="0.25">
      <c r="D173" s="13"/>
    </row>
    <row r="174" spans="4:4" x14ac:dyDescent="0.25">
      <c r="D174" s="13"/>
    </row>
    <row r="175" spans="4:4" x14ac:dyDescent="0.25">
      <c r="D175" s="13"/>
    </row>
    <row r="176" spans="4:4" x14ac:dyDescent="0.25">
      <c r="D176" s="13"/>
    </row>
    <row r="177" spans="4:4" x14ac:dyDescent="0.25">
      <c r="D177" s="13"/>
    </row>
    <row r="178" spans="4:4" x14ac:dyDescent="0.25">
      <c r="D178" s="13"/>
    </row>
    <row r="179" spans="4:4" x14ac:dyDescent="0.25">
      <c r="D179" s="13"/>
    </row>
    <row r="180" spans="4:4" x14ac:dyDescent="0.25">
      <c r="D180" s="13"/>
    </row>
    <row r="181" spans="4:4" x14ac:dyDescent="0.25">
      <c r="D181" s="13"/>
    </row>
    <row r="182" spans="4:4" x14ac:dyDescent="0.25">
      <c r="D182" s="13"/>
    </row>
    <row r="183" spans="4:4" x14ac:dyDescent="0.25">
      <c r="D183" s="13"/>
    </row>
    <row r="184" spans="4:4" x14ac:dyDescent="0.25">
      <c r="D184" s="13"/>
    </row>
    <row r="185" spans="4:4" x14ac:dyDescent="0.25">
      <c r="D185" s="13"/>
    </row>
    <row r="186" spans="4:4" x14ac:dyDescent="0.25">
      <c r="D186" s="13"/>
    </row>
    <row r="187" spans="4:4" x14ac:dyDescent="0.25">
      <c r="D187" s="13"/>
    </row>
    <row r="188" spans="4:4" x14ac:dyDescent="0.25">
      <c r="D188" s="13"/>
    </row>
    <row r="189" spans="4:4" x14ac:dyDescent="0.25">
      <c r="D189" s="13"/>
    </row>
    <row r="190" spans="4:4" x14ac:dyDescent="0.25">
      <c r="D190" s="13"/>
    </row>
    <row r="191" spans="4:4" x14ac:dyDescent="0.25">
      <c r="D191" s="13"/>
    </row>
    <row r="192" spans="4:4" x14ac:dyDescent="0.25">
      <c r="D192" s="13"/>
    </row>
    <row r="193" spans="4:4" x14ac:dyDescent="0.25">
      <c r="D193" s="13"/>
    </row>
    <row r="194" spans="4:4" x14ac:dyDescent="0.25">
      <c r="D194" s="13"/>
    </row>
    <row r="195" spans="4:4" x14ac:dyDescent="0.25">
      <c r="D195" s="13"/>
    </row>
    <row r="196" spans="4:4" x14ac:dyDescent="0.25">
      <c r="D196" s="13"/>
    </row>
    <row r="197" spans="4:4" x14ac:dyDescent="0.25">
      <c r="D197" s="13"/>
    </row>
    <row r="198" spans="4:4" x14ac:dyDescent="0.25">
      <c r="D198" s="13"/>
    </row>
    <row r="199" spans="4:4" x14ac:dyDescent="0.25">
      <c r="D199" s="13"/>
    </row>
    <row r="200" spans="4:4" x14ac:dyDescent="0.25">
      <c r="D200" s="13"/>
    </row>
    <row r="201" spans="4:4" x14ac:dyDescent="0.25">
      <c r="D201" s="13"/>
    </row>
    <row r="202" spans="4:4" x14ac:dyDescent="0.25">
      <c r="D202" s="13"/>
    </row>
    <row r="203" spans="4:4" x14ac:dyDescent="0.25">
      <c r="D203" s="13"/>
    </row>
    <row r="204" spans="4:4" x14ac:dyDescent="0.25">
      <c r="D204" s="13"/>
    </row>
    <row r="205" spans="4:4" x14ac:dyDescent="0.25">
      <c r="D205" s="13"/>
    </row>
    <row r="206" spans="4:4" x14ac:dyDescent="0.25">
      <c r="D206" s="13"/>
    </row>
    <row r="207" spans="4:4" x14ac:dyDescent="0.25">
      <c r="D207" s="13"/>
    </row>
    <row r="208" spans="4:4" x14ac:dyDescent="0.25">
      <c r="D208" s="13"/>
    </row>
    <row r="209" spans="4:4" x14ac:dyDescent="0.25">
      <c r="D209" s="13"/>
    </row>
    <row r="210" spans="4:4" x14ac:dyDescent="0.25">
      <c r="D210" s="13"/>
    </row>
    <row r="211" spans="4:4" x14ac:dyDescent="0.25">
      <c r="D211" s="13"/>
    </row>
    <row r="212" spans="4:4" x14ac:dyDescent="0.25">
      <c r="D212" s="13"/>
    </row>
    <row r="213" spans="4:4" x14ac:dyDescent="0.25">
      <c r="D213" s="13"/>
    </row>
    <row r="214" spans="4:4" x14ac:dyDescent="0.25">
      <c r="D214" s="13"/>
    </row>
    <row r="215" spans="4:4" x14ac:dyDescent="0.25">
      <c r="D215" s="13"/>
    </row>
    <row r="216" spans="4:4" x14ac:dyDescent="0.25">
      <c r="D216" s="13"/>
    </row>
    <row r="217" spans="4:4" x14ac:dyDescent="0.25">
      <c r="D217" s="13"/>
    </row>
    <row r="218" spans="4:4" x14ac:dyDescent="0.25">
      <c r="D218" s="13"/>
    </row>
    <row r="219" spans="4:4" x14ac:dyDescent="0.25">
      <c r="D219" s="13"/>
    </row>
    <row r="220" spans="4:4" x14ac:dyDescent="0.25">
      <c r="D220" s="13"/>
    </row>
    <row r="221" spans="4:4" x14ac:dyDescent="0.25">
      <c r="D221" s="13"/>
    </row>
    <row r="222" spans="4:4" x14ac:dyDescent="0.25">
      <c r="D222" s="13"/>
    </row>
    <row r="223" spans="4:4" x14ac:dyDescent="0.25">
      <c r="D223" s="13"/>
    </row>
    <row r="224" spans="4:4" x14ac:dyDescent="0.25">
      <c r="D224" s="13"/>
    </row>
    <row r="225" spans="4:4" x14ac:dyDescent="0.25">
      <c r="D225" s="13"/>
    </row>
    <row r="226" spans="4:4" x14ac:dyDescent="0.25">
      <c r="D226" s="13"/>
    </row>
    <row r="227" spans="4:4" x14ac:dyDescent="0.25">
      <c r="D227" s="13"/>
    </row>
    <row r="228" spans="4:4" x14ac:dyDescent="0.25">
      <c r="D228" s="13"/>
    </row>
    <row r="229" spans="4:4" x14ac:dyDescent="0.25">
      <c r="D229" s="13"/>
    </row>
    <row r="230" spans="4:4" x14ac:dyDescent="0.25">
      <c r="D230" s="13"/>
    </row>
    <row r="231" spans="4:4" x14ac:dyDescent="0.25">
      <c r="D231" s="13"/>
    </row>
    <row r="232" spans="4:4" x14ac:dyDescent="0.25">
      <c r="D232" s="13"/>
    </row>
    <row r="233" spans="4:4" x14ac:dyDescent="0.25">
      <c r="D233" s="13"/>
    </row>
    <row r="234" spans="4:4" x14ac:dyDescent="0.25">
      <c r="D234" s="13"/>
    </row>
    <row r="235" spans="4:4" x14ac:dyDescent="0.25">
      <c r="D235" s="13"/>
    </row>
    <row r="236" spans="4:4" x14ac:dyDescent="0.25">
      <c r="D236" s="13"/>
    </row>
    <row r="237" spans="4:4" x14ac:dyDescent="0.25">
      <c r="D237" s="13"/>
    </row>
    <row r="238" spans="4:4" x14ac:dyDescent="0.25">
      <c r="D238" s="13"/>
    </row>
    <row r="239" spans="4:4" x14ac:dyDescent="0.25">
      <c r="D239" s="13"/>
    </row>
    <row r="240" spans="4:4" x14ac:dyDescent="0.25">
      <c r="D240" s="13"/>
    </row>
    <row r="241" spans="4:4" x14ac:dyDescent="0.25">
      <c r="D241" s="13"/>
    </row>
    <row r="242" spans="4:4" x14ac:dyDescent="0.25">
      <c r="D242" s="13"/>
    </row>
    <row r="243" spans="4:4" x14ac:dyDescent="0.25">
      <c r="D243" s="13"/>
    </row>
    <row r="244" spans="4:4" x14ac:dyDescent="0.25">
      <c r="D244" s="13"/>
    </row>
    <row r="245" spans="4:4" x14ac:dyDescent="0.25">
      <c r="D245" s="13"/>
    </row>
    <row r="246" spans="4:4" x14ac:dyDescent="0.25">
      <c r="D246" s="13"/>
    </row>
    <row r="247" spans="4:4" x14ac:dyDescent="0.25">
      <c r="D247" s="13"/>
    </row>
    <row r="248" spans="4:4" x14ac:dyDescent="0.25">
      <c r="D248" s="13"/>
    </row>
    <row r="249" spans="4:4" x14ac:dyDescent="0.25">
      <c r="D249" s="13"/>
    </row>
    <row r="250" spans="4:4" x14ac:dyDescent="0.25">
      <c r="D250" s="13"/>
    </row>
    <row r="251" spans="4:4" x14ac:dyDescent="0.25">
      <c r="D251" s="13"/>
    </row>
    <row r="252" spans="4:4" x14ac:dyDescent="0.25">
      <c r="D252" s="13"/>
    </row>
    <row r="253" spans="4:4" x14ac:dyDescent="0.25">
      <c r="D253" s="13"/>
    </row>
    <row r="254" spans="4:4" x14ac:dyDescent="0.25">
      <c r="D254" s="13"/>
    </row>
    <row r="255" spans="4:4" x14ac:dyDescent="0.25">
      <c r="D255" s="13"/>
    </row>
    <row r="256" spans="4:4" x14ac:dyDescent="0.25">
      <c r="D256" s="13"/>
    </row>
    <row r="257" spans="4:4" x14ac:dyDescent="0.25">
      <c r="D257" s="13"/>
    </row>
    <row r="258" spans="4:4" x14ac:dyDescent="0.25">
      <c r="D258" s="13"/>
    </row>
    <row r="259" spans="4:4" x14ac:dyDescent="0.25">
      <c r="D259" s="13"/>
    </row>
    <row r="260" spans="4:4" x14ac:dyDescent="0.25">
      <c r="D260" s="13"/>
    </row>
    <row r="261" spans="4:4" x14ac:dyDescent="0.25">
      <c r="D261" s="13"/>
    </row>
    <row r="262" spans="4:4" x14ac:dyDescent="0.25">
      <c r="D262" s="13"/>
    </row>
    <row r="263" spans="4:4" x14ac:dyDescent="0.25">
      <c r="D263" s="13"/>
    </row>
    <row r="264" spans="4:4" x14ac:dyDescent="0.25">
      <c r="D264" s="13"/>
    </row>
    <row r="265" spans="4:4" x14ac:dyDescent="0.25">
      <c r="D265" s="13"/>
    </row>
    <row r="266" spans="4:4" x14ac:dyDescent="0.25">
      <c r="D266" s="13"/>
    </row>
    <row r="267" spans="4:4" x14ac:dyDescent="0.25">
      <c r="D267" s="13"/>
    </row>
    <row r="268" spans="4:4" x14ac:dyDescent="0.25">
      <c r="D268" s="13"/>
    </row>
    <row r="269" spans="4:4" x14ac:dyDescent="0.25">
      <c r="D269" s="13"/>
    </row>
    <row r="270" spans="4:4" x14ac:dyDescent="0.25">
      <c r="D270" s="13"/>
    </row>
    <row r="271" spans="4:4" x14ac:dyDescent="0.25">
      <c r="D271" s="13"/>
    </row>
    <row r="272" spans="4:4" x14ac:dyDescent="0.25">
      <c r="D272" s="13"/>
    </row>
    <row r="273" spans="4:4" x14ac:dyDescent="0.25">
      <c r="D273" s="13"/>
    </row>
    <row r="274" spans="4:4" x14ac:dyDescent="0.25">
      <c r="D274" s="13"/>
    </row>
    <row r="275" spans="4:4" x14ac:dyDescent="0.25">
      <c r="D275" s="13"/>
    </row>
    <row r="276" spans="4:4" x14ac:dyDescent="0.25">
      <c r="D276" s="13"/>
    </row>
    <row r="277" spans="4:4" x14ac:dyDescent="0.25">
      <c r="D277" s="13"/>
    </row>
    <row r="278" spans="4:4" x14ac:dyDescent="0.25">
      <c r="D278" s="13"/>
    </row>
    <row r="279" spans="4:4" x14ac:dyDescent="0.25">
      <c r="D279" s="13"/>
    </row>
    <row r="280" spans="4:4" x14ac:dyDescent="0.25">
      <c r="D280" s="13"/>
    </row>
    <row r="281" spans="4:4" x14ac:dyDescent="0.25">
      <c r="D281" s="13"/>
    </row>
    <row r="282" spans="4:4" x14ac:dyDescent="0.25">
      <c r="D282" s="13"/>
    </row>
    <row r="283" spans="4:4" x14ac:dyDescent="0.25">
      <c r="D283" s="13"/>
    </row>
    <row r="284" spans="4:4" x14ac:dyDescent="0.25">
      <c r="D284" s="13"/>
    </row>
    <row r="285" spans="4:4" x14ac:dyDescent="0.25">
      <c r="D285" s="13"/>
    </row>
    <row r="286" spans="4:4" x14ac:dyDescent="0.25">
      <c r="D286" s="13"/>
    </row>
    <row r="287" spans="4:4" x14ac:dyDescent="0.25">
      <c r="D287" s="13"/>
    </row>
    <row r="288" spans="4:4" x14ac:dyDescent="0.25">
      <c r="D288" s="13"/>
    </row>
    <row r="289" spans="4:4" x14ac:dyDescent="0.25">
      <c r="D289" s="13"/>
    </row>
    <row r="290" spans="4:4" x14ac:dyDescent="0.25">
      <c r="D290" s="13"/>
    </row>
    <row r="291" spans="4:4" x14ac:dyDescent="0.25">
      <c r="D291" s="13"/>
    </row>
    <row r="292" spans="4:4" x14ac:dyDescent="0.25">
      <c r="D292" s="13"/>
    </row>
    <row r="293" spans="4:4" x14ac:dyDescent="0.25">
      <c r="D293" s="13"/>
    </row>
    <row r="294" spans="4:4" x14ac:dyDescent="0.25">
      <c r="D294" s="13"/>
    </row>
    <row r="295" spans="4:4" x14ac:dyDescent="0.25">
      <c r="D295" s="13"/>
    </row>
    <row r="296" spans="4:4" x14ac:dyDescent="0.25">
      <c r="D296" s="13"/>
    </row>
    <row r="297" spans="4:4" x14ac:dyDescent="0.25">
      <c r="D297" s="13"/>
    </row>
    <row r="298" spans="4:4" x14ac:dyDescent="0.25">
      <c r="D298" s="13"/>
    </row>
    <row r="299" spans="4:4" x14ac:dyDescent="0.25">
      <c r="D299" s="13"/>
    </row>
    <row r="300" spans="4:4" x14ac:dyDescent="0.25">
      <c r="D300" s="13"/>
    </row>
    <row r="301" spans="4:4" x14ac:dyDescent="0.25">
      <c r="D301" s="13"/>
    </row>
    <row r="302" spans="4:4" x14ac:dyDescent="0.25">
      <c r="D302" s="13"/>
    </row>
    <row r="303" spans="4:4" x14ac:dyDescent="0.25">
      <c r="D303" s="13"/>
    </row>
    <row r="304" spans="4:4" x14ac:dyDescent="0.25">
      <c r="D304" s="13"/>
    </row>
    <row r="305" spans="4:4" x14ac:dyDescent="0.25">
      <c r="D305" s="13"/>
    </row>
    <row r="306" spans="4:4" x14ac:dyDescent="0.25">
      <c r="D306" s="13"/>
    </row>
    <row r="307" spans="4:4" x14ac:dyDescent="0.25">
      <c r="D307" s="13"/>
    </row>
    <row r="308" spans="4:4" x14ac:dyDescent="0.25">
      <c r="D308" s="13"/>
    </row>
    <row r="309" spans="4:4" x14ac:dyDescent="0.25">
      <c r="D309" s="13"/>
    </row>
    <row r="310" spans="4:4" x14ac:dyDescent="0.25">
      <c r="D310" s="13"/>
    </row>
    <row r="311" spans="4:4" x14ac:dyDescent="0.25">
      <c r="D311" s="13"/>
    </row>
    <row r="312" spans="4:4" x14ac:dyDescent="0.25">
      <c r="D312" s="13"/>
    </row>
    <row r="313" spans="4:4" x14ac:dyDescent="0.25">
      <c r="D313" s="13"/>
    </row>
    <row r="314" spans="4:4" x14ac:dyDescent="0.25">
      <c r="D314" s="13"/>
    </row>
    <row r="315" spans="4:4" x14ac:dyDescent="0.25">
      <c r="D315" s="13"/>
    </row>
    <row r="316" spans="4:4" x14ac:dyDescent="0.25">
      <c r="D316" s="13"/>
    </row>
    <row r="317" spans="4:4" x14ac:dyDescent="0.25">
      <c r="D317" s="13"/>
    </row>
    <row r="318" spans="4:4" x14ac:dyDescent="0.25">
      <c r="D318" s="13"/>
    </row>
    <row r="319" spans="4:4" x14ac:dyDescent="0.25">
      <c r="D319" s="13"/>
    </row>
    <row r="320" spans="4:4" x14ac:dyDescent="0.25">
      <c r="D320" s="13"/>
    </row>
    <row r="321" spans="4:4" x14ac:dyDescent="0.25">
      <c r="D321" s="13"/>
    </row>
    <row r="322" spans="4:4" x14ac:dyDescent="0.25">
      <c r="D322" s="13"/>
    </row>
    <row r="323" spans="4:4" x14ac:dyDescent="0.25">
      <c r="D323" s="13"/>
    </row>
    <row r="324" spans="4:4" x14ac:dyDescent="0.25">
      <c r="D324" s="13"/>
    </row>
    <row r="325" spans="4:4" x14ac:dyDescent="0.25">
      <c r="D325" s="13"/>
    </row>
    <row r="326" spans="4:4" x14ac:dyDescent="0.25">
      <c r="D326" s="13"/>
    </row>
    <row r="327" spans="4:4" x14ac:dyDescent="0.25">
      <c r="D327" s="13"/>
    </row>
    <row r="328" spans="4:4" x14ac:dyDescent="0.25">
      <c r="D328" s="13"/>
    </row>
    <row r="329" spans="4:4" x14ac:dyDescent="0.25">
      <c r="D329" s="13"/>
    </row>
    <row r="330" spans="4:4" x14ac:dyDescent="0.25">
      <c r="D330" s="13"/>
    </row>
    <row r="331" spans="4:4" x14ac:dyDescent="0.25">
      <c r="D331" s="13"/>
    </row>
    <row r="332" spans="4:4" x14ac:dyDescent="0.25">
      <c r="D332" s="13"/>
    </row>
    <row r="333" spans="4:4" x14ac:dyDescent="0.25">
      <c r="D333" s="13"/>
    </row>
    <row r="334" spans="4:4" x14ac:dyDescent="0.25">
      <c r="D334" s="13"/>
    </row>
    <row r="335" spans="4:4" x14ac:dyDescent="0.25">
      <c r="D335" s="13"/>
    </row>
    <row r="336" spans="4:4" x14ac:dyDescent="0.25">
      <c r="D336" s="13"/>
    </row>
    <row r="337" spans="4:4" x14ac:dyDescent="0.25">
      <c r="D337" s="13"/>
    </row>
    <row r="338" spans="4:4" x14ac:dyDescent="0.25">
      <c r="D338" s="13"/>
    </row>
    <row r="339" spans="4:4" x14ac:dyDescent="0.25">
      <c r="D339" s="13"/>
    </row>
    <row r="340" spans="4:4" x14ac:dyDescent="0.25">
      <c r="D340" s="13"/>
    </row>
    <row r="341" spans="4:4" x14ac:dyDescent="0.25">
      <c r="D341" s="13"/>
    </row>
    <row r="342" spans="4:4" x14ac:dyDescent="0.25">
      <c r="D342" s="13"/>
    </row>
    <row r="343" spans="4:4" x14ac:dyDescent="0.25">
      <c r="D343" s="13"/>
    </row>
    <row r="344" spans="4:4" x14ac:dyDescent="0.25">
      <c r="D344" s="13"/>
    </row>
    <row r="345" spans="4:4" x14ac:dyDescent="0.25">
      <c r="D345" s="13"/>
    </row>
    <row r="346" spans="4:4" x14ac:dyDescent="0.25">
      <c r="D346" s="13"/>
    </row>
    <row r="347" spans="4:4" x14ac:dyDescent="0.25">
      <c r="D347" s="13"/>
    </row>
    <row r="348" spans="4:4" x14ac:dyDescent="0.25">
      <c r="D348" s="13"/>
    </row>
    <row r="349" spans="4:4" x14ac:dyDescent="0.25">
      <c r="D349" s="13"/>
    </row>
    <row r="350" spans="4:4" x14ac:dyDescent="0.25">
      <c r="D350" s="13"/>
    </row>
    <row r="351" spans="4:4" x14ac:dyDescent="0.25">
      <c r="D351" s="13"/>
    </row>
    <row r="352" spans="4:4" x14ac:dyDescent="0.25">
      <c r="D352" s="13"/>
    </row>
    <row r="353" spans="4:4" x14ac:dyDescent="0.25">
      <c r="D353" s="13"/>
    </row>
    <row r="354" spans="4:4" x14ac:dyDescent="0.25">
      <c r="D354" s="13"/>
    </row>
    <row r="355" spans="4:4" x14ac:dyDescent="0.25">
      <c r="D355" s="13"/>
    </row>
    <row r="356" spans="4:4" x14ac:dyDescent="0.25">
      <c r="D356" s="13"/>
    </row>
    <row r="357" spans="4:4" x14ac:dyDescent="0.25">
      <c r="D357" s="13"/>
    </row>
    <row r="358" spans="4:4" x14ac:dyDescent="0.25">
      <c r="D358" s="13"/>
    </row>
    <row r="359" spans="4:4" x14ac:dyDescent="0.25">
      <c r="D359" s="13"/>
    </row>
    <row r="360" spans="4:4" x14ac:dyDescent="0.25">
      <c r="D360" s="13"/>
    </row>
    <row r="361" spans="4:4" x14ac:dyDescent="0.25">
      <c r="D361" s="13"/>
    </row>
    <row r="362" spans="4:4" x14ac:dyDescent="0.25">
      <c r="D362" s="13"/>
    </row>
    <row r="363" spans="4:4" x14ac:dyDescent="0.25">
      <c r="D363" s="13"/>
    </row>
    <row r="364" spans="4:4" x14ac:dyDescent="0.25">
      <c r="D364" s="13"/>
    </row>
    <row r="365" spans="4:4" x14ac:dyDescent="0.25">
      <c r="D365" s="13"/>
    </row>
    <row r="366" spans="4:4" x14ac:dyDescent="0.25">
      <c r="D366" s="13"/>
    </row>
    <row r="367" spans="4:4" x14ac:dyDescent="0.25">
      <c r="D367" s="13"/>
    </row>
    <row r="368" spans="4:4" x14ac:dyDescent="0.25">
      <c r="D368" s="13"/>
    </row>
    <row r="369" spans="4:4" x14ac:dyDescent="0.25">
      <c r="D369" s="13"/>
    </row>
    <row r="370" spans="4:4" x14ac:dyDescent="0.25">
      <c r="D370" s="13"/>
    </row>
    <row r="371" spans="4:4" x14ac:dyDescent="0.25">
      <c r="D371" s="13"/>
    </row>
    <row r="372" spans="4:4" x14ac:dyDescent="0.25">
      <c r="D372" s="13"/>
    </row>
    <row r="373" spans="4:4" x14ac:dyDescent="0.25">
      <c r="D373" s="13"/>
    </row>
    <row r="374" spans="4:4" x14ac:dyDescent="0.25">
      <c r="D374" s="13"/>
    </row>
    <row r="375" spans="4:4" x14ac:dyDescent="0.25">
      <c r="D375" s="13"/>
    </row>
    <row r="376" spans="4:4" x14ac:dyDescent="0.25">
      <c r="D376" s="13"/>
    </row>
    <row r="377" spans="4:4" x14ac:dyDescent="0.25">
      <c r="D377" s="13"/>
    </row>
    <row r="378" spans="4:4" x14ac:dyDescent="0.25">
      <c r="D378" s="13"/>
    </row>
    <row r="379" spans="4:4" x14ac:dyDescent="0.25">
      <c r="D379" s="13"/>
    </row>
    <row r="380" spans="4:4" x14ac:dyDescent="0.25">
      <c r="D380" s="13"/>
    </row>
    <row r="381" spans="4:4" x14ac:dyDescent="0.25">
      <c r="D381" s="13"/>
    </row>
    <row r="382" spans="4:4" x14ac:dyDescent="0.25">
      <c r="D382" s="13"/>
    </row>
    <row r="383" spans="4:4" x14ac:dyDescent="0.25">
      <c r="D383" s="13"/>
    </row>
    <row r="384" spans="4:4" x14ac:dyDescent="0.25">
      <c r="D384" s="13"/>
    </row>
    <row r="385" spans="4:4" x14ac:dyDescent="0.25">
      <c r="D385" s="13"/>
    </row>
    <row r="386" spans="4:4" x14ac:dyDescent="0.25">
      <c r="D386" s="13"/>
    </row>
    <row r="387" spans="4:4" x14ac:dyDescent="0.25">
      <c r="D387" s="13"/>
    </row>
    <row r="388" spans="4:4" x14ac:dyDescent="0.25">
      <c r="D388" s="13"/>
    </row>
    <row r="389" spans="4:4" x14ac:dyDescent="0.25">
      <c r="D389" s="13"/>
    </row>
    <row r="390" spans="4:4" x14ac:dyDescent="0.25">
      <c r="D390" s="13"/>
    </row>
    <row r="391" spans="4:4" x14ac:dyDescent="0.25">
      <c r="D391" s="13"/>
    </row>
    <row r="392" spans="4:4" x14ac:dyDescent="0.25">
      <c r="D392" s="13"/>
    </row>
    <row r="393" spans="4:4" x14ac:dyDescent="0.25">
      <c r="D393" s="13"/>
    </row>
    <row r="394" spans="4:4" x14ac:dyDescent="0.25">
      <c r="D394" s="13"/>
    </row>
    <row r="395" spans="4:4" x14ac:dyDescent="0.25">
      <c r="D395" s="13"/>
    </row>
    <row r="396" spans="4:4" x14ac:dyDescent="0.25">
      <c r="D396" s="13"/>
    </row>
    <row r="397" spans="4:4" x14ac:dyDescent="0.25">
      <c r="D397" s="13"/>
    </row>
    <row r="398" spans="4:4" x14ac:dyDescent="0.25">
      <c r="D398" s="13"/>
    </row>
    <row r="399" spans="4:4" x14ac:dyDescent="0.25">
      <c r="D399" s="13"/>
    </row>
    <row r="400" spans="4:4" x14ac:dyDescent="0.25">
      <c r="D400" s="13"/>
    </row>
    <row r="401" spans="4:4" x14ac:dyDescent="0.25">
      <c r="D401" s="13"/>
    </row>
    <row r="402" spans="4:4" x14ac:dyDescent="0.25">
      <c r="D402" s="13"/>
    </row>
    <row r="403" spans="4:4" x14ac:dyDescent="0.25">
      <c r="D403" s="13"/>
    </row>
    <row r="404" spans="4:4" x14ac:dyDescent="0.25">
      <c r="D404" s="13"/>
    </row>
    <row r="405" spans="4:4" x14ac:dyDescent="0.25">
      <c r="D405" s="13"/>
    </row>
    <row r="406" spans="4:4" x14ac:dyDescent="0.25">
      <c r="D406" s="13"/>
    </row>
    <row r="407" spans="4:4" x14ac:dyDescent="0.25">
      <c r="D407" s="13"/>
    </row>
    <row r="408" spans="4:4" x14ac:dyDescent="0.25">
      <c r="D408" s="13"/>
    </row>
    <row r="409" spans="4:4" x14ac:dyDescent="0.25">
      <c r="D409" s="13"/>
    </row>
    <row r="410" spans="4:4" x14ac:dyDescent="0.25">
      <c r="D410" s="13"/>
    </row>
    <row r="411" spans="4:4" x14ac:dyDescent="0.25">
      <c r="D411" s="13"/>
    </row>
    <row r="412" spans="4:4" x14ac:dyDescent="0.25">
      <c r="D412" s="13"/>
    </row>
    <row r="413" spans="4:4" x14ac:dyDescent="0.25">
      <c r="D413" s="13"/>
    </row>
    <row r="414" spans="4:4" x14ac:dyDescent="0.25">
      <c r="D414" s="13"/>
    </row>
    <row r="415" spans="4:4" x14ac:dyDescent="0.25">
      <c r="D415" s="13"/>
    </row>
    <row r="416" spans="4:4" x14ac:dyDescent="0.25">
      <c r="D416" s="13"/>
    </row>
    <row r="417" spans="4:4" x14ac:dyDescent="0.25">
      <c r="D417" s="13"/>
    </row>
    <row r="418" spans="4:4" x14ac:dyDescent="0.25">
      <c r="D418" s="13"/>
    </row>
    <row r="419" spans="4:4" x14ac:dyDescent="0.25">
      <c r="D419" s="13"/>
    </row>
    <row r="420" spans="4:4" x14ac:dyDescent="0.25">
      <c r="D420" s="13"/>
    </row>
    <row r="421" spans="4:4" x14ac:dyDescent="0.25">
      <c r="D421" s="13"/>
    </row>
    <row r="422" spans="4:4" x14ac:dyDescent="0.25">
      <c r="D422" s="13"/>
    </row>
    <row r="423" spans="4:4" x14ac:dyDescent="0.25">
      <c r="D423" s="13"/>
    </row>
    <row r="424" spans="4:4" x14ac:dyDescent="0.25">
      <c r="D424" s="13"/>
    </row>
    <row r="425" spans="4:4" x14ac:dyDescent="0.25">
      <c r="D425" s="13"/>
    </row>
    <row r="426" spans="4:4" x14ac:dyDescent="0.25">
      <c r="D426" s="13"/>
    </row>
    <row r="427" spans="4:4" x14ac:dyDescent="0.25">
      <c r="D427" s="13"/>
    </row>
    <row r="428" spans="4:4" x14ac:dyDescent="0.25">
      <c r="D428" s="13"/>
    </row>
    <row r="429" spans="4:4" x14ac:dyDescent="0.25">
      <c r="D429" s="13"/>
    </row>
    <row r="430" spans="4:4" x14ac:dyDescent="0.25">
      <c r="D430" s="13"/>
    </row>
    <row r="431" spans="4:4" x14ac:dyDescent="0.25">
      <c r="D431" s="13"/>
    </row>
    <row r="432" spans="4:4" x14ac:dyDescent="0.25">
      <c r="D432" s="13"/>
    </row>
    <row r="433" spans="4:4" x14ac:dyDescent="0.25">
      <c r="D433" s="13"/>
    </row>
    <row r="434" spans="4:4" x14ac:dyDescent="0.25">
      <c r="D434" s="13"/>
    </row>
    <row r="435" spans="4:4" x14ac:dyDescent="0.25">
      <c r="D435" s="13"/>
    </row>
    <row r="436" spans="4:4" x14ac:dyDescent="0.25">
      <c r="D436" s="13"/>
    </row>
    <row r="437" spans="4:4" x14ac:dyDescent="0.25">
      <c r="D437" s="13"/>
    </row>
    <row r="438" spans="4:4" x14ac:dyDescent="0.25">
      <c r="D438" s="13"/>
    </row>
    <row r="439" spans="4:4" x14ac:dyDescent="0.25">
      <c r="D439" s="13"/>
    </row>
    <row r="440" spans="4:4" x14ac:dyDescent="0.25">
      <c r="D440" s="13"/>
    </row>
    <row r="441" spans="4:4" x14ac:dyDescent="0.25">
      <c r="D441" s="13"/>
    </row>
    <row r="442" spans="4:4" x14ac:dyDescent="0.25">
      <c r="D442" s="13"/>
    </row>
    <row r="443" spans="4:4" x14ac:dyDescent="0.25">
      <c r="D443" s="13"/>
    </row>
    <row r="444" spans="4:4" x14ac:dyDescent="0.25">
      <c r="D444" s="13"/>
    </row>
    <row r="445" spans="4:4" x14ac:dyDescent="0.25">
      <c r="D445" s="13"/>
    </row>
    <row r="446" spans="4:4" x14ac:dyDescent="0.25">
      <c r="D446" s="13"/>
    </row>
    <row r="447" spans="4:4" x14ac:dyDescent="0.25">
      <c r="D447" s="13"/>
    </row>
    <row r="448" spans="4:4" x14ac:dyDescent="0.25">
      <c r="D448" s="13"/>
    </row>
    <row r="449" spans="4:4" x14ac:dyDescent="0.25">
      <c r="D449" s="13"/>
    </row>
    <row r="450" spans="4:4" x14ac:dyDescent="0.25">
      <c r="D450" s="13"/>
    </row>
    <row r="451" spans="4:4" x14ac:dyDescent="0.25">
      <c r="D451" s="13"/>
    </row>
    <row r="452" spans="4:4" x14ac:dyDescent="0.25">
      <c r="D452" s="13"/>
    </row>
    <row r="453" spans="4:4" x14ac:dyDescent="0.25">
      <c r="D453" s="13"/>
    </row>
    <row r="454" spans="4:4" x14ac:dyDescent="0.25">
      <c r="D454" s="13"/>
    </row>
    <row r="455" spans="4:4" x14ac:dyDescent="0.25">
      <c r="D455" s="13"/>
    </row>
    <row r="456" spans="4:4" x14ac:dyDescent="0.25">
      <c r="D456" s="13"/>
    </row>
    <row r="457" spans="4:4" x14ac:dyDescent="0.25">
      <c r="D457" s="13"/>
    </row>
    <row r="458" spans="4:4" x14ac:dyDescent="0.25">
      <c r="D458" s="13"/>
    </row>
    <row r="459" spans="4:4" x14ac:dyDescent="0.25">
      <c r="D459" s="13"/>
    </row>
    <row r="460" spans="4:4" x14ac:dyDescent="0.25">
      <c r="D460" s="13"/>
    </row>
    <row r="461" spans="4:4" x14ac:dyDescent="0.25">
      <c r="D461" s="13"/>
    </row>
    <row r="462" spans="4:4" x14ac:dyDescent="0.25">
      <c r="D462" s="13"/>
    </row>
    <row r="463" spans="4:4" x14ac:dyDescent="0.25">
      <c r="D463" s="13"/>
    </row>
    <row r="464" spans="4:4" x14ac:dyDescent="0.25">
      <c r="D464" s="13"/>
    </row>
    <row r="465" spans="4:4" x14ac:dyDescent="0.25">
      <c r="D465" s="13"/>
    </row>
    <row r="466" spans="4:4" x14ac:dyDescent="0.25">
      <c r="D466" s="13"/>
    </row>
    <row r="467" spans="4:4" x14ac:dyDescent="0.25">
      <c r="D467" s="13"/>
    </row>
    <row r="468" spans="4:4" x14ac:dyDescent="0.25">
      <c r="D468" s="13"/>
    </row>
    <row r="469" spans="4:4" x14ac:dyDescent="0.25">
      <c r="D469" s="13"/>
    </row>
    <row r="470" spans="4:4" x14ac:dyDescent="0.25">
      <c r="D470" s="13"/>
    </row>
    <row r="471" spans="4:4" x14ac:dyDescent="0.25">
      <c r="D471" s="13"/>
    </row>
    <row r="472" spans="4:4" x14ac:dyDescent="0.25">
      <c r="D472" s="13"/>
    </row>
    <row r="473" spans="4:4" x14ac:dyDescent="0.25">
      <c r="D473" s="13"/>
    </row>
    <row r="474" spans="4:4" x14ac:dyDescent="0.25">
      <c r="D474" s="13"/>
    </row>
    <row r="475" spans="4:4" x14ac:dyDescent="0.25">
      <c r="D475" s="13"/>
    </row>
    <row r="476" spans="4:4" x14ac:dyDescent="0.25">
      <c r="D476" s="13"/>
    </row>
    <row r="477" spans="4:4" x14ac:dyDescent="0.25">
      <c r="D477" s="13"/>
    </row>
    <row r="478" spans="4:4" x14ac:dyDescent="0.25">
      <c r="D478" s="13"/>
    </row>
    <row r="479" spans="4:4" x14ac:dyDescent="0.25">
      <c r="D479" s="13"/>
    </row>
    <row r="480" spans="4:4" x14ac:dyDescent="0.25">
      <c r="D480" s="13"/>
    </row>
    <row r="481" spans="4:4" x14ac:dyDescent="0.25">
      <c r="D481" s="13"/>
    </row>
    <row r="482" spans="4:4" x14ac:dyDescent="0.25">
      <c r="D482" s="13"/>
    </row>
    <row r="483" spans="4:4" x14ac:dyDescent="0.25">
      <c r="D483" s="13"/>
    </row>
    <row r="484" spans="4:4" x14ac:dyDescent="0.25">
      <c r="D484" s="13"/>
    </row>
    <row r="485" spans="4:4" x14ac:dyDescent="0.25">
      <c r="D485" s="13"/>
    </row>
    <row r="486" spans="4:4" x14ac:dyDescent="0.25">
      <c r="D486" s="13"/>
    </row>
    <row r="487" spans="4:4" x14ac:dyDescent="0.25">
      <c r="D487" s="13"/>
    </row>
    <row r="488" spans="4:4" x14ac:dyDescent="0.25">
      <c r="D488" s="13"/>
    </row>
    <row r="489" spans="4:4" x14ac:dyDescent="0.25">
      <c r="D489" s="13"/>
    </row>
    <row r="490" spans="4:4" x14ac:dyDescent="0.25">
      <c r="D490" s="13"/>
    </row>
    <row r="491" spans="4:4" x14ac:dyDescent="0.25">
      <c r="D491" s="13"/>
    </row>
    <row r="492" spans="4:4" x14ac:dyDescent="0.25">
      <c r="D492" s="13"/>
    </row>
    <row r="493" spans="4:4" x14ac:dyDescent="0.25">
      <c r="D493" s="13"/>
    </row>
    <row r="494" spans="4:4" x14ac:dyDescent="0.25">
      <c r="D494" s="13"/>
    </row>
    <row r="495" spans="4:4" x14ac:dyDescent="0.25">
      <c r="D495" s="13"/>
    </row>
    <row r="496" spans="4:4" x14ac:dyDescent="0.25">
      <c r="D496" s="13"/>
    </row>
    <row r="497" spans="4:4" x14ac:dyDescent="0.25">
      <c r="D497" s="13"/>
    </row>
    <row r="498" spans="4:4" x14ac:dyDescent="0.25">
      <c r="D498" s="13"/>
    </row>
    <row r="499" spans="4:4" x14ac:dyDescent="0.25">
      <c r="D499" s="13"/>
    </row>
    <row r="500" spans="4:4" x14ac:dyDescent="0.25">
      <c r="D500" s="13"/>
    </row>
    <row r="501" spans="4:4" x14ac:dyDescent="0.25">
      <c r="D501" s="13"/>
    </row>
    <row r="502" spans="4:4" x14ac:dyDescent="0.25">
      <c r="D502" s="13"/>
    </row>
    <row r="503" spans="4:4" x14ac:dyDescent="0.25">
      <c r="D503" s="13"/>
    </row>
    <row r="504" spans="4:4" x14ac:dyDescent="0.25">
      <c r="D504" s="13"/>
    </row>
    <row r="505" spans="4:4" x14ac:dyDescent="0.25">
      <c r="D505" s="13"/>
    </row>
    <row r="506" spans="4:4" x14ac:dyDescent="0.25">
      <c r="D506" s="13"/>
    </row>
    <row r="507" spans="4:4" x14ac:dyDescent="0.25">
      <c r="D507" s="13"/>
    </row>
    <row r="508" spans="4:4" x14ac:dyDescent="0.25">
      <c r="D508" s="13"/>
    </row>
    <row r="509" spans="4:4" x14ac:dyDescent="0.25">
      <c r="D509" s="13"/>
    </row>
    <row r="510" spans="4:4" x14ac:dyDescent="0.25">
      <c r="D510" s="13"/>
    </row>
    <row r="511" spans="4:4" x14ac:dyDescent="0.25">
      <c r="D511" s="13"/>
    </row>
    <row r="512" spans="4:4" x14ac:dyDescent="0.25">
      <c r="D512" s="13"/>
    </row>
    <row r="513" spans="4:4" x14ac:dyDescent="0.25">
      <c r="D513" s="13"/>
    </row>
    <row r="514" spans="4:4" x14ac:dyDescent="0.25">
      <c r="D514" s="13"/>
    </row>
    <row r="515" spans="4:4" x14ac:dyDescent="0.25">
      <c r="D515" s="13"/>
    </row>
    <row r="516" spans="4:4" x14ac:dyDescent="0.25">
      <c r="D516" s="13"/>
    </row>
    <row r="517" spans="4:4" x14ac:dyDescent="0.25">
      <c r="D517" s="13"/>
    </row>
    <row r="518" spans="4:4" x14ac:dyDescent="0.25">
      <c r="D518" s="13"/>
    </row>
    <row r="519" spans="4:4" x14ac:dyDescent="0.25">
      <c r="D519" s="13"/>
    </row>
    <row r="520" spans="4:4" x14ac:dyDescent="0.25">
      <c r="D520" s="13"/>
    </row>
    <row r="521" spans="4:4" x14ac:dyDescent="0.25">
      <c r="D521" s="13"/>
    </row>
    <row r="522" spans="4:4" x14ac:dyDescent="0.25">
      <c r="D522" s="13"/>
    </row>
    <row r="523" spans="4:4" x14ac:dyDescent="0.25">
      <c r="D523" s="13"/>
    </row>
    <row r="524" spans="4:4" x14ac:dyDescent="0.25">
      <c r="D524" s="13"/>
    </row>
    <row r="525" spans="4:4" x14ac:dyDescent="0.25">
      <c r="D525" s="13"/>
    </row>
    <row r="526" spans="4:4" x14ac:dyDescent="0.25">
      <c r="D526" s="13"/>
    </row>
    <row r="527" spans="4:4" x14ac:dyDescent="0.25">
      <c r="D527" s="13"/>
    </row>
    <row r="528" spans="4:4" x14ac:dyDescent="0.25">
      <c r="D528" s="13"/>
    </row>
    <row r="529" spans="4:4" x14ac:dyDescent="0.25">
      <c r="D529" s="13"/>
    </row>
    <row r="530" spans="4:4" x14ac:dyDescent="0.25">
      <c r="D530" s="13"/>
    </row>
    <row r="531" spans="4:4" x14ac:dyDescent="0.25">
      <c r="D531" s="13"/>
    </row>
    <row r="532" spans="4:4" x14ac:dyDescent="0.25">
      <c r="D532" s="13"/>
    </row>
    <row r="533" spans="4:4" x14ac:dyDescent="0.25">
      <c r="D533" s="13"/>
    </row>
    <row r="534" spans="4:4" x14ac:dyDescent="0.25">
      <c r="D534" s="13"/>
    </row>
    <row r="535" spans="4:4" x14ac:dyDescent="0.25">
      <c r="D535" s="13"/>
    </row>
    <row r="536" spans="4:4" x14ac:dyDescent="0.25">
      <c r="D536" s="13"/>
    </row>
    <row r="537" spans="4:4" x14ac:dyDescent="0.25">
      <c r="D537" s="13"/>
    </row>
    <row r="538" spans="4:4" x14ac:dyDescent="0.25">
      <c r="D538" s="13"/>
    </row>
    <row r="539" spans="4:4" x14ac:dyDescent="0.25">
      <c r="D539" s="13"/>
    </row>
    <row r="540" spans="4:4" x14ac:dyDescent="0.25">
      <c r="D540" s="13"/>
    </row>
    <row r="541" spans="4:4" x14ac:dyDescent="0.25">
      <c r="D541" s="13"/>
    </row>
    <row r="542" spans="4:4" x14ac:dyDescent="0.25">
      <c r="D542" s="13"/>
    </row>
    <row r="543" spans="4:4" x14ac:dyDescent="0.25">
      <c r="D543" s="13"/>
    </row>
    <row r="544" spans="4:4" x14ac:dyDescent="0.25">
      <c r="D544" s="13"/>
    </row>
    <row r="545" spans="4:4" x14ac:dyDescent="0.25">
      <c r="D545" s="13"/>
    </row>
    <row r="546" spans="4:4" x14ac:dyDescent="0.25">
      <c r="D546" s="13"/>
    </row>
    <row r="547" spans="4:4" x14ac:dyDescent="0.25">
      <c r="D547" s="13"/>
    </row>
    <row r="548" spans="4:4" x14ac:dyDescent="0.25">
      <c r="D548" s="13"/>
    </row>
    <row r="549" spans="4:4" x14ac:dyDescent="0.25">
      <c r="D549" s="13"/>
    </row>
    <row r="550" spans="4:4" x14ac:dyDescent="0.25">
      <c r="D550" s="13"/>
    </row>
    <row r="551" spans="4:4" x14ac:dyDescent="0.25">
      <c r="D551" s="13"/>
    </row>
    <row r="552" spans="4:4" x14ac:dyDescent="0.25">
      <c r="D552" s="13"/>
    </row>
    <row r="553" spans="4:4" x14ac:dyDescent="0.25">
      <c r="D553" s="13"/>
    </row>
    <row r="554" spans="4:4" x14ac:dyDescent="0.25">
      <c r="D554" s="13"/>
    </row>
    <row r="555" spans="4:4" x14ac:dyDescent="0.25">
      <c r="D555" s="13"/>
    </row>
    <row r="556" spans="4:4" x14ac:dyDescent="0.25">
      <c r="D556" s="13"/>
    </row>
    <row r="557" spans="4:4" x14ac:dyDescent="0.25">
      <c r="D557" s="13"/>
    </row>
    <row r="558" spans="4:4" x14ac:dyDescent="0.25">
      <c r="D558" s="13"/>
    </row>
    <row r="559" spans="4:4" x14ac:dyDescent="0.25">
      <c r="D559" s="13"/>
    </row>
    <row r="560" spans="4:4" x14ac:dyDescent="0.25">
      <c r="D560" s="13"/>
    </row>
    <row r="561" spans="4:4" x14ac:dyDescent="0.25">
      <c r="D561" s="13"/>
    </row>
    <row r="562" spans="4:4" x14ac:dyDescent="0.25">
      <c r="D562" s="13"/>
    </row>
    <row r="563" spans="4:4" x14ac:dyDescent="0.25">
      <c r="D563" s="13"/>
    </row>
    <row r="564" spans="4:4" x14ac:dyDescent="0.25">
      <c r="D564" s="13"/>
    </row>
    <row r="565" spans="4:4" x14ac:dyDescent="0.25">
      <c r="D565" s="13"/>
    </row>
    <row r="566" spans="4:4" x14ac:dyDescent="0.25">
      <c r="D566" s="13"/>
    </row>
    <row r="567" spans="4:4" x14ac:dyDescent="0.25">
      <c r="D567" s="13"/>
    </row>
    <row r="568" spans="4:4" x14ac:dyDescent="0.25">
      <c r="D568" s="13"/>
    </row>
    <row r="569" spans="4:4" x14ac:dyDescent="0.25">
      <c r="D569" s="13"/>
    </row>
    <row r="570" spans="4:4" x14ac:dyDescent="0.25">
      <c r="D570" s="13"/>
    </row>
    <row r="571" spans="4:4" x14ac:dyDescent="0.25">
      <c r="D571" s="13"/>
    </row>
    <row r="572" spans="4:4" x14ac:dyDescent="0.25">
      <c r="D572" s="13"/>
    </row>
    <row r="573" spans="4:4" x14ac:dyDescent="0.25">
      <c r="D573" s="13"/>
    </row>
    <row r="574" spans="4:4" x14ac:dyDescent="0.25">
      <c r="D574" s="13"/>
    </row>
    <row r="575" spans="4:4" x14ac:dyDescent="0.25">
      <c r="D575" s="13"/>
    </row>
    <row r="576" spans="4:4" x14ac:dyDescent="0.25">
      <c r="D576" s="13"/>
    </row>
    <row r="577" spans="4:4" x14ac:dyDescent="0.25">
      <c r="D577" s="13"/>
    </row>
    <row r="578" spans="4:4" x14ac:dyDescent="0.25">
      <c r="D578" s="13"/>
    </row>
    <row r="579" spans="4:4" x14ac:dyDescent="0.25">
      <c r="D579" s="13"/>
    </row>
    <row r="580" spans="4:4" x14ac:dyDescent="0.25">
      <c r="D580" s="13"/>
    </row>
    <row r="581" spans="4:4" x14ac:dyDescent="0.25">
      <c r="D581" s="13"/>
    </row>
    <row r="582" spans="4:4" x14ac:dyDescent="0.25">
      <c r="D582" s="13"/>
    </row>
    <row r="583" spans="4:4" x14ac:dyDescent="0.25">
      <c r="D583" s="13"/>
    </row>
    <row r="584" spans="4:4" x14ac:dyDescent="0.25">
      <c r="D584" s="13"/>
    </row>
    <row r="585" spans="4:4" x14ac:dyDescent="0.25">
      <c r="D585" s="13"/>
    </row>
    <row r="586" spans="4:4" x14ac:dyDescent="0.25">
      <c r="D586" s="13"/>
    </row>
    <row r="587" spans="4:4" x14ac:dyDescent="0.25">
      <c r="D587" s="13"/>
    </row>
    <row r="588" spans="4:4" x14ac:dyDescent="0.25">
      <c r="D588" s="13"/>
    </row>
    <row r="589" spans="4:4" x14ac:dyDescent="0.25">
      <c r="D589" s="13"/>
    </row>
    <row r="590" spans="4:4" x14ac:dyDescent="0.25">
      <c r="D590" s="13"/>
    </row>
    <row r="591" spans="4:4" x14ac:dyDescent="0.25">
      <c r="D591" s="13"/>
    </row>
    <row r="592" spans="4:4" x14ac:dyDescent="0.25">
      <c r="D592" s="13"/>
    </row>
    <row r="593" spans="4:4" x14ac:dyDescent="0.25">
      <c r="D593" s="13"/>
    </row>
    <row r="594" spans="4:4" x14ac:dyDescent="0.25">
      <c r="D594" s="13"/>
    </row>
    <row r="595" spans="4:4" x14ac:dyDescent="0.25">
      <c r="D595" s="13"/>
    </row>
    <row r="596" spans="4:4" x14ac:dyDescent="0.25">
      <c r="D596" s="13"/>
    </row>
    <row r="597" spans="4:4" x14ac:dyDescent="0.25">
      <c r="D597" s="13"/>
    </row>
    <row r="598" spans="4:4" x14ac:dyDescent="0.25">
      <c r="D598" s="13"/>
    </row>
    <row r="599" spans="4:4" x14ac:dyDescent="0.25">
      <c r="D599" s="13"/>
    </row>
    <row r="600" spans="4:4" x14ac:dyDescent="0.25">
      <c r="D600" s="13"/>
    </row>
    <row r="601" spans="4:4" x14ac:dyDescent="0.25">
      <c r="D601" s="13"/>
    </row>
    <row r="602" spans="4:4" x14ac:dyDescent="0.25">
      <c r="D602" s="13"/>
    </row>
    <row r="603" spans="4:4" x14ac:dyDescent="0.25">
      <c r="D603" s="13"/>
    </row>
    <row r="604" spans="4:4" x14ac:dyDescent="0.25">
      <c r="D604" s="13"/>
    </row>
    <row r="605" spans="4:4" x14ac:dyDescent="0.25">
      <c r="D605" s="13"/>
    </row>
    <row r="606" spans="4:4" x14ac:dyDescent="0.25">
      <c r="D606" s="13"/>
    </row>
    <row r="607" spans="4:4" x14ac:dyDescent="0.25">
      <c r="D607" s="13"/>
    </row>
    <row r="608" spans="4:4" x14ac:dyDescent="0.25">
      <c r="D608" s="13"/>
    </row>
    <row r="609" spans="4:4" x14ac:dyDescent="0.25">
      <c r="D609" s="13"/>
    </row>
    <row r="610" spans="4:4" x14ac:dyDescent="0.25">
      <c r="D610" s="13"/>
    </row>
    <row r="611" spans="4:4" x14ac:dyDescent="0.25">
      <c r="D611" s="13"/>
    </row>
    <row r="612" spans="4:4" x14ac:dyDescent="0.25">
      <c r="D612" s="13"/>
    </row>
    <row r="613" spans="4:4" x14ac:dyDescent="0.25">
      <c r="D613" s="13"/>
    </row>
    <row r="614" spans="4:4" x14ac:dyDescent="0.25">
      <c r="D614" s="13"/>
    </row>
    <row r="615" spans="4:4" x14ac:dyDescent="0.25">
      <c r="D615" s="13"/>
    </row>
    <row r="616" spans="4:4" x14ac:dyDescent="0.25">
      <c r="D616" s="13"/>
    </row>
    <row r="617" spans="4:4" x14ac:dyDescent="0.25">
      <c r="D617" s="13"/>
    </row>
    <row r="618" spans="4:4" x14ac:dyDescent="0.25">
      <c r="D618" s="13"/>
    </row>
    <row r="619" spans="4:4" x14ac:dyDescent="0.25">
      <c r="D619" s="13"/>
    </row>
    <row r="620" spans="4:4" x14ac:dyDescent="0.25">
      <c r="D620" s="13"/>
    </row>
    <row r="621" spans="4:4" x14ac:dyDescent="0.25">
      <c r="D621" s="13"/>
    </row>
    <row r="622" spans="4:4" x14ac:dyDescent="0.25">
      <c r="D622" s="13"/>
    </row>
    <row r="623" spans="4:4" x14ac:dyDescent="0.25">
      <c r="D623" s="13"/>
    </row>
    <row r="624" spans="4:4" x14ac:dyDescent="0.25">
      <c r="D624" s="13"/>
    </row>
    <row r="625" spans="4:4" x14ac:dyDescent="0.25">
      <c r="D625" s="13"/>
    </row>
    <row r="626" spans="4:4" x14ac:dyDescent="0.25">
      <c r="D626" s="13"/>
    </row>
    <row r="627" spans="4:4" x14ac:dyDescent="0.25">
      <c r="D627" s="13"/>
    </row>
    <row r="628" spans="4:4" x14ac:dyDescent="0.25">
      <c r="D628" s="13"/>
    </row>
    <row r="629" spans="4:4" x14ac:dyDescent="0.25">
      <c r="D629" s="13"/>
    </row>
    <row r="630" spans="4:4" x14ac:dyDescent="0.25">
      <c r="D630" s="13"/>
    </row>
    <row r="631" spans="4:4" x14ac:dyDescent="0.25">
      <c r="D631" s="13"/>
    </row>
    <row r="632" spans="4:4" x14ac:dyDescent="0.25">
      <c r="D632" s="13"/>
    </row>
    <row r="633" spans="4:4" x14ac:dyDescent="0.25">
      <c r="D633" s="13"/>
    </row>
    <row r="634" spans="4:4" x14ac:dyDescent="0.25">
      <c r="D634" s="13"/>
    </row>
    <row r="635" spans="4:4" x14ac:dyDescent="0.25">
      <c r="D635" s="13"/>
    </row>
    <row r="636" spans="4:4" x14ac:dyDescent="0.25">
      <c r="D636" s="13"/>
    </row>
    <row r="637" spans="4:4" x14ac:dyDescent="0.25">
      <c r="D637" s="13"/>
    </row>
    <row r="638" spans="4:4" x14ac:dyDescent="0.25">
      <c r="D638" s="13"/>
    </row>
    <row r="639" spans="4:4" x14ac:dyDescent="0.25">
      <c r="D639" s="13"/>
    </row>
    <row r="640" spans="4:4" x14ac:dyDescent="0.25">
      <c r="D640" s="13"/>
    </row>
    <row r="641" spans="4:4" x14ac:dyDescent="0.25">
      <c r="D641" s="13"/>
    </row>
    <row r="642" spans="4:4" x14ac:dyDescent="0.25">
      <c r="D642" s="13"/>
    </row>
    <row r="643" spans="4:4" x14ac:dyDescent="0.25">
      <c r="D643" s="13"/>
    </row>
    <row r="644" spans="4:4" x14ac:dyDescent="0.25">
      <c r="D644" s="13"/>
    </row>
    <row r="645" spans="4:4" x14ac:dyDescent="0.25">
      <c r="D645" s="13"/>
    </row>
    <row r="646" spans="4:4" x14ac:dyDescent="0.25">
      <c r="D646" s="13"/>
    </row>
    <row r="647" spans="4:4" x14ac:dyDescent="0.25">
      <c r="D647" s="13"/>
    </row>
    <row r="648" spans="4:4" x14ac:dyDescent="0.25">
      <c r="D648" s="13"/>
    </row>
    <row r="649" spans="4:4" x14ac:dyDescent="0.25">
      <c r="D649" s="13"/>
    </row>
    <row r="650" spans="4:4" x14ac:dyDescent="0.25">
      <c r="D650" s="13"/>
    </row>
    <row r="651" spans="4:4" x14ac:dyDescent="0.25">
      <c r="D651" s="13"/>
    </row>
    <row r="652" spans="4:4" x14ac:dyDescent="0.25">
      <c r="D652" s="13"/>
    </row>
    <row r="653" spans="4:4" x14ac:dyDescent="0.25">
      <c r="D653" s="13"/>
    </row>
    <row r="654" spans="4:4" x14ac:dyDescent="0.25">
      <c r="D654" s="13"/>
    </row>
    <row r="655" spans="4:4" x14ac:dyDescent="0.25">
      <c r="D655" s="13"/>
    </row>
    <row r="656" spans="4:4" x14ac:dyDescent="0.25">
      <c r="D656" s="13"/>
    </row>
    <row r="657" spans="4:4" x14ac:dyDescent="0.25">
      <c r="D657" s="13"/>
    </row>
    <row r="658" spans="4:4" x14ac:dyDescent="0.25">
      <c r="D658" s="13"/>
    </row>
    <row r="659" spans="4:4" x14ac:dyDescent="0.25">
      <c r="D659" s="13"/>
    </row>
    <row r="660" spans="4:4" x14ac:dyDescent="0.25">
      <c r="D660" s="13"/>
    </row>
    <row r="661" spans="4:4" x14ac:dyDescent="0.25">
      <c r="D661" s="13"/>
    </row>
    <row r="662" spans="4:4" x14ac:dyDescent="0.25">
      <c r="D662" s="13"/>
    </row>
    <row r="663" spans="4:4" x14ac:dyDescent="0.25">
      <c r="D663" s="13"/>
    </row>
    <row r="664" spans="4:4" x14ac:dyDescent="0.25">
      <c r="D664" s="13"/>
    </row>
    <row r="665" spans="4:4" x14ac:dyDescent="0.25">
      <c r="D665" s="13"/>
    </row>
    <row r="666" spans="4:4" x14ac:dyDescent="0.25">
      <c r="D666" s="13"/>
    </row>
    <row r="667" spans="4:4" x14ac:dyDescent="0.25">
      <c r="D667" s="13"/>
    </row>
    <row r="668" spans="4:4" x14ac:dyDescent="0.25">
      <c r="D668" s="13"/>
    </row>
    <row r="669" spans="4:4" x14ac:dyDescent="0.25">
      <c r="D669" s="13"/>
    </row>
    <row r="670" spans="4:4" x14ac:dyDescent="0.25">
      <c r="D670" s="13"/>
    </row>
    <row r="671" spans="4:4" x14ac:dyDescent="0.25">
      <c r="D671" s="13"/>
    </row>
    <row r="672" spans="4:4" x14ac:dyDescent="0.25">
      <c r="D672" s="13"/>
    </row>
    <row r="673" spans="4:4" x14ac:dyDescent="0.25">
      <c r="D673" s="13"/>
    </row>
    <row r="674" spans="4:4" x14ac:dyDescent="0.25">
      <c r="D674" s="13"/>
    </row>
    <row r="675" spans="4:4" x14ac:dyDescent="0.25">
      <c r="D675" s="13"/>
    </row>
    <row r="676" spans="4:4" x14ac:dyDescent="0.25">
      <c r="D676" s="13"/>
    </row>
    <row r="677" spans="4:4" x14ac:dyDescent="0.25">
      <c r="D677" s="13"/>
    </row>
    <row r="678" spans="4:4" x14ac:dyDescent="0.25">
      <c r="D678" s="13"/>
    </row>
    <row r="679" spans="4:4" x14ac:dyDescent="0.25">
      <c r="D679" s="13"/>
    </row>
    <row r="680" spans="4:4" x14ac:dyDescent="0.25">
      <c r="D680" s="13"/>
    </row>
    <row r="681" spans="4:4" x14ac:dyDescent="0.25">
      <c r="D681" s="13"/>
    </row>
    <row r="682" spans="4:4" x14ac:dyDescent="0.25">
      <c r="D682" s="13"/>
    </row>
    <row r="683" spans="4:4" x14ac:dyDescent="0.25">
      <c r="D683" s="13"/>
    </row>
    <row r="684" spans="4:4" x14ac:dyDescent="0.25">
      <c r="D684" s="13"/>
    </row>
    <row r="685" spans="4:4" x14ac:dyDescent="0.25">
      <c r="D685" s="13"/>
    </row>
    <row r="686" spans="4:4" x14ac:dyDescent="0.25">
      <c r="D686" s="13"/>
    </row>
    <row r="687" spans="4:4" x14ac:dyDescent="0.25">
      <c r="D687" s="13"/>
    </row>
    <row r="688" spans="4:4" x14ac:dyDescent="0.25">
      <c r="D688" s="13"/>
    </row>
    <row r="689" spans="4:4" x14ac:dyDescent="0.25">
      <c r="D689" s="13"/>
    </row>
    <row r="690" spans="4:4" x14ac:dyDescent="0.25">
      <c r="D690" s="13"/>
    </row>
    <row r="691" spans="4:4" x14ac:dyDescent="0.25">
      <c r="D691" s="13"/>
    </row>
    <row r="692" spans="4:4" x14ac:dyDescent="0.25">
      <c r="D692" s="13"/>
    </row>
    <row r="693" spans="4:4" x14ac:dyDescent="0.25">
      <c r="D693" s="13"/>
    </row>
    <row r="694" spans="4:4" x14ac:dyDescent="0.25">
      <c r="D694" s="13"/>
    </row>
    <row r="695" spans="4:4" x14ac:dyDescent="0.25">
      <c r="D695" s="13"/>
    </row>
    <row r="696" spans="4:4" x14ac:dyDescent="0.25">
      <c r="D696" s="13"/>
    </row>
    <row r="697" spans="4:4" x14ac:dyDescent="0.25">
      <c r="D697" s="13"/>
    </row>
    <row r="698" spans="4:4" x14ac:dyDescent="0.25">
      <c r="D698" s="13"/>
    </row>
    <row r="699" spans="4:4" x14ac:dyDescent="0.25">
      <c r="D699" s="13"/>
    </row>
    <row r="700" spans="4:4" x14ac:dyDescent="0.25">
      <c r="D700" s="13"/>
    </row>
    <row r="701" spans="4:4" x14ac:dyDescent="0.25">
      <c r="D701" s="13"/>
    </row>
    <row r="702" spans="4:4" x14ac:dyDescent="0.25">
      <c r="D702" s="13"/>
    </row>
    <row r="703" spans="4:4" x14ac:dyDescent="0.25">
      <c r="D703" s="13"/>
    </row>
    <row r="704" spans="4:4" x14ac:dyDescent="0.25">
      <c r="D704" s="13"/>
    </row>
    <row r="705" spans="4:4" x14ac:dyDescent="0.25">
      <c r="D705" s="13"/>
    </row>
    <row r="706" spans="4:4" x14ac:dyDescent="0.25">
      <c r="D706" s="13"/>
    </row>
    <row r="707" spans="4:4" x14ac:dyDescent="0.25">
      <c r="D707" s="13"/>
    </row>
    <row r="708" spans="4:4" x14ac:dyDescent="0.25">
      <c r="D708" s="13"/>
    </row>
    <row r="709" spans="4:4" x14ac:dyDescent="0.25">
      <c r="D709" s="13"/>
    </row>
    <row r="710" spans="4:4" x14ac:dyDescent="0.25">
      <c r="D710" s="13"/>
    </row>
    <row r="711" spans="4:4" x14ac:dyDescent="0.25">
      <c r="D711" s="13"/>
    </row>
    <row r="712" spans="4:4" x14ac:dyDescent="0.25">
      <c r="D712" s="13"/>
    </row>
    <row r="713" spans="4:4" x14ac:dyDescent="0.25">
      <c r="D713" s="13"/>
    </row>
    <row r="714" spans="4:4" x14ac:dyDescent="0.25">
      <c r="D714" s="13"/>
    </row>
    <row r="715" spans="4:4" x14ac:dyDescent="0.25">
      <c r="D715" s="13"/>
    </row>
    <row r="716" spans="4:4" x14ac:dyDescent="0.25">
      <c r="D716" s="13"/>
    </row>
    <row r="717" spans="4:4" x14ac:dyDescent="0.25">
      <c r="D717" s="13"/>
    </row>
    <row r="718" spans="4:4" x14ac:dyDescent="0.25">
      <c r="D718" s="13"/>
    </row>
    <row r="719" spans="4:4" x14ac:dyDescent="0.25">
      <c r="D719" s="13"/>
    </row>
    <row r="720" spans="4:4" x14ac:dyDescent="0.25">
      <c r="D720" s="13"/>
    </row>
    <row r="721" spans="4:4" x14ac:dyDescent="0.25">
      <c r="D721" s="13"/>
    </row>
    <row r="722" spans="4:4" x14ac:dyDescent="0.25">
      <c r="D722" s="13"/>
    </row>
    <row r="723" spans="4:4" x14ac:dyDescent="0.25">
      <c r="D723" s="13"/>
    </row>
    <row r="724" spans="4:4" x14ac:dyDescent="0.25">
      <c r="D724" s="13"/>
    </row>
    <row r="725" spans="4:4" x14ac:dyDescent="0.25">
      <c r="D725" s="13"/>
    </row>
    <row r="726" spans="4:4" x14ac:dyDescent="0.25">
      <c r="D726" s="13"/>
    </row>
    <row r="727" spans="4:4" x14ac:dyDescent="0.25">
      <c r="D727" s="13"/>
    </row>
    <row r="728" spans="4:4" x14ac:dyDescent="0.25">
      <c r="D728" s="13"/>
    </row>
    <row r="729" spans="4:4" x14ac:dyDescent="0.25">
      <c r="D729" s="13"/>
    </row>
    <row r="730" spans="4:4" x14ac:dyDescent="0.25">
      <c r="D730" s="13"/>
    </row>
    <row r="731" spans="4:4" x14ac:dyDescent="0.25">
      <c r="D731" s="13"/>
    </row>
    <row r="732" spans="4:4" x14ac:dyDescent="0.25">
      <c r="D732" s="13"/>
    </row>
    <row r="733" spans="4:4" x14ac:dyDescent="0.25">
      <c r="D733" s="13"/>
    </row>
    <row r="734" spans="4:4" x14ac:dyDescent="0.25">
      <c r="D734" s="13"/>
    </row>
    <row r="735" spans="4:4" x14ac:dyDescent="0.25">
      <c r="D735" s="13"/>
    </row>
    <row r="736" spans="4:4" x14ac:dyDescent="0.25">
      <c r="D736" s="13"/>
    </row>
    <row r="737" spans="4:4" x14ac:dyDescent="0.25">
      <c r="D737" s="13"/>
    </row>
    <row r="738" spans="4:4" x14ac:dyDescent="0.25">
      <c r="D738" s="13"/>
    </row>
    <row r="739" spans="4:4" x14ac:dyDescent="0.25">
      <c r="D739" s="13"/>
    </row>
    <row r="740" spans="4:4" x14ac:dyDescent="0.25">
      <c r="D740" s="13"/>
    </row>
    <row r="741" spans="4:4" x14ac:dyDescent="0.25">
      <c r="D741" s="13"/>
    </row>
    <row r="742" spans="4:4" x14ac:dyDescent="0.25">
      <c r="D742" s="13"/>
    </row>
    <row r="743" spans="4:4" x14ac:dyDescent="0.25">
      <c r="D743" s="13"/>
    </row>
    <row r="744" spans="4:4" x14ac:dyDescent="0.25">
      <c r="D744" s="13"/>
    </row>
    <row r="745" spans="4:4" x14ac:dyDescent="0.25">
      <c r="D745" s="13"/>
    </row>
    <row r="746" spans="4:4" x14ac:dyDescent="0.25">
      <c r="D746" s="13"/>
    </row>
    <row r="747" spans="4:4" x14ac:dyDescent="0.25">
      <c r="D747" s="13"/>
    </row>
    <row r="748" spans="4:4" x14ac:dyDescent="0.25">
      <c r="D748" s="13"/>
    </row>
    <row r="749" spans="4:4" x14ac:dyDescent="0.25">
      <c r="D749" s="13"/>
    </row>
    <row r="750" spans="4:4" x14ac:dyDescent="0.25">
      <c r="D750" s="13"/>
    </row>
    <row r="751" spans="4:4" x14ac:dyDescent="0.25">
      <c r="D751" s="13"/>
    </row>
    <row r="752" spans="4:4" x14ac:dyDescent="0.25">
      <c r="D752" s="13"/>
    </row>
    <row r="753" spans="4:4" x14ac:dyDescent="0.25">
      <c r="D753" s="13"/>
    </row>
    <row r="754" spans="4:4" x14ac:dyDescent="0.25">
      <c r="D754" s="13"/>
    </row>
    <row r="755" spans="4:4" x14ac:dyDescent="0.25">
      <c r="D755" s="13"/>
    </row>
    <row r="756" spans="4:4" x14ac:dyDescent="0.25">
      <c r="D756" s="13"/>
    </row>
    <row r="757" spans="4:4" x14ac:dyDescent="0.25">
      <c r="D757" s="13"/>
    </row>
    <row r="758" spans="4:4" x14ac:dyDescent="0.25">
      <c r="D758" s="13"/>
    </row>
    <row r="759" spans="4:4" x14ac:dyDescent="0.25">
      <c r="D759" s="13"/>
    </row>
    <row r="760" spans="4:4" x14ac:dyDescent="0.25">
      <c r="D760" s="13"/>
    </row>
    <row r="761" spans="4:4" x14ac:dyDescent="0.25">
      <c r="D761" s="13"/>
    </row>
    <row r="762" spans="4:4" x14ac:dyDescent="0.25">
      <c r="D762" s="13"/>
    </row>
    <row r="763" spans="4:4" x14ac:dyDescent="0.25">
      <c r="D763" s="13"/>
    </row>
    <row r="764" spans="4:4" x14ac:dyDescent="0.25">
      <c r="D764" s="13"/>
    </row>
    <row r="765" spans="4:4" x14ac:dyDescent="0.25">
      <c r="D765" s="13"/>
    </row>
    <row r="766" spans="4:4" x14ac:dyDescent="0.25">
      <c r="D766" s="13"/>
    </row>
    <row r="767" spans="4:4" x14ac:dyDescent="0.25">
      <c r="D767" s="13"/>
    </row>
    <row r="768" spans="4:4" x14ac:dyDescent="0.25">
      <c r="D768" s="13"/>
    </row>
    <row r="769" spans="4:4" x14ac:dyDescent="0.25">
      <c r="D769" s="13"/>
    </row>
    <row r="770" spans="4:4" x14ac:dyDescent="0.25">
      <c r="D770" s="13"/>
    </row>
    <row r="771" spans="4:4" x14ac:dyDescent="0.25">
      <c r="D771" s="13"/>
    </row>
    <row r="772" spans="4:4" x14ac:dyDescent="0.25">
      <c r="D772" s="13"/>
    </row>
    <row r="773" spans="4:4" x14ac:dyDescent="0.25">
      <c r="D773" s="13"/>
    </row>
    <row r="774" spans="4:4" x14ac:dyDescent="0.25">
      <c r="D774" s="13"/>
    </row>
    <row r="775" spans="4:4" x14ac:dyDescent="0.25">
      <c r="D775" s="13"/>
    </row>
    <row r="776" spans="4:4" x14ac:dyDescent="0.25">
      <c r="D776" s="13"/>
    </row>
    <row r="777" spans="4:4" x14ac:dyDescent="0.25">
      <c r="D777" s="13"/>
    </row>
    <row r="778" spans="4:4" x14ac:dyDescent="0.25">
      <c r="D778" s="13"/>
    </row>
    <row r="779" spans="4:4" x14ac:dyDescent="0.25">
      <c r="D779" s="13"/>
    </row>
    <row r="780" spans="4:4" x14ac:dyDescent="0.25">
      <c r="D780" s="13"/>
    </row>
    <row r="781" spans="4:4" x14ac:dyDescent="0.25">
      <c r="D781" s="13"/>
    </row>
    <row r="782" spans="4:4" x14ac:dyDescent="0.25">
      <c r="D782" s="13"/>
    </row>
    <row r="783" spans="4:4" x14ac:dyDescent="0.25">
      <c r="D783" s="13"/>
    </row>
    <row r="784" spans="4:4" x14ac:dyDescent="0.25">
      <c r="D784" s="13"/>
    </row>
    <row r="785" spans="4:4" x14ac:dyDescent="0.25">
      <c r="D785" s="13"/>
    </row>
    <row r="786" spans="4:4" x14ac:dyDescent="0.25">
      <c r="D786" s="13"/>
    </row>
    <row r="787" spans="4:4" x14ac:dyDescent="0.25">
      <c r="D787" s="13"/>
    </row>
    <row r="788" spans="4:4" x14ac:dyDescent="0.25">
      <c r="D788" s="13"/>
    </row>
    <row r="789" spans="4:4" x14ac:dyDescent="0.25">
      <c r="D789" s="13"/>
    </row>
    <row r="790" spans="4:4" x14ac:dyDescent="0.25">
      <c r="D790" s="13"/>
    </row>
    <row r="791" spans="4:4" x14ac:dyDescent="0.25">
      <c r="D791" s="13"/>
    </row>
    <row r="792" spans="4:4" x14ac:dyDescent="0.25">
      <c r="D792" s="13"/>
    </row>
    <row r="793" spans="4:4" x14ac:dyDescent="0.25">
      <c r="D793" s="13"/>
    </row>
    <row r="794" spans="4:4" x14ac:dyDescent="0.25">
      <c r="D794" s="13"/>
    </row>
    <row r="795" spans="4:4" x14ac:dyDescent="0.25">
      <c r="D795" s="13"/>
    </row>
    <row r="796" spans="4:4" x14ac:dyDescent="0.25">
      <c r="D796" s="13"/>
    </row>
    <row r="797" spans="4:4" x14ac:dyDescent="0.25">
      <c r="D797" s="13"/>
    </row>
    <row r="798" spans="4:4" x14ac:dyDescent="0.25">
      <c r="D798" s="13"/>
    </row>
    <row r="799" spans="4:4" x14ac:dyDescent="0.25">
      <c r="D799" s="13"/>
    </row>
    <row r="800" spans="4:4" x14ac:dyDescent="0.25">
      <c r="D800" s="13"/>
    </row>
    <row r="801" spans="4:4" x14ac:dyDescent="0.25">
      <c r="D801" s="13"/>
    </row>
    <row r="802" spans="4:4" x14ac:dyDescent="0.25">
      <c r="D802" s="13"/>
    </row>
    <row r="803" spans="4:4" x14ac:dyDescent="0.25">
      <c r="D803" s="13"/>
    </row>
    <row r="804" spans="4:4" x14ac:dyDescent="0.25">
      <c r="D804" s="13"/>
    </row>
    <row r="805" spans="4:4" x14ac:dyDescent="0.25">
      <c r="D805" s="13"/>
    </row>
    <row r="806" spans="4:4" x14ac:dyDescent="0.25">
      <c r="D806" s="13"/>
    </row>
    <row r="807" spans="4:4" x14ac:dyDescent="0.25">
      <c r="D807" s="13"/>
    </row>
    <row r="808" spans="4:4" x14ac:dyDescent="0.25">
      <c r="D808" s="13"/>
    </row>
    <row r="809" spans="4:4" x14ac:dyDescent="0.25">
      <c r="D809" s="13"/>
    </row>
    <row r="810" spans="4:4" x14ac:dyDescent="0.25">
      <c r="D810" s="13"/>
    </row>
    <row r="811" spans="4:4" x14ac:dyDescent="0.25">
      <c r="D811" s="13"/>
    </row>
    <row r="812" spans="4:4" x14ac:dyDescent="0.25">
      <c r="D812" s="13"/>
    </row>
    <row r="813" spans="4:4" x14ac:dyDescent="0.25">
      <c r="D813" s="13"/>
    </row>
    <row r="814" spans="4:4" x14ac:dyDescent="0.25">
      <c r="D814" s="13"/>
    </row>
    <row r="815" spans="4:4" x14ac:dyDescent="0.25">
      <c r="D815" s="13"/>
    </row>
    <row r="816" spans="4:4" x14ac:dyDescent="0.25">
      <c r="D816" s="13"/>
    </row>
    <row r="817" spans="4:4" x14ac:dyDescent="0.25">
      <c r="D817" s="13"/>
    </row>
    <row r="818" spans="4:4" x14ac:dyDescent="0.25">
      <c r="D818" s="13"/>
    </row>
    <row r="819" spans="4:4" x14ac:dyDescent="0.25">
      <c r="D819" s="13"/>
    </row>
    <row r="820" spans="4:4" x14ac:dyDescent="0.25">
      <c r="D820" s="13"/>
    </row>
    <row r="821" spans="4:4" x14ac:dyDescent="0.25">
      <c r="D821" s="13"/>
    </row>
    <row r="822" spans="4:4" x14ac:dyDescent="0.25">
      <c r="D822" s="13"/>
    </row>
    <row r="823" spans="4:4" x14ac:dyDescent="0.25">
      <c r="D823" s="13"/>
    </row>
    <row r="824" spans="4:4" x14ac:dyDescent="0.25">
      <c r="D824" s="13"/>
    </row>
    <row r="825" spans="4:4" x14ac:dyDescent="0.25">
      <c r="D825" s="13"/>
    </row>
    <row r="826" spans="4:4" x14ac:dyDescent="0.25">
      <c r="D826" s="13"/>
    </row>
    <row r="827" spans="4:4" x14ac:dyDescent="0.25">
      <c r="D827" s="13"/>
    </row>
    <row r="828" spans="4:4" x14ac:dyDescent="0.25">
      <c r="D828" s="13"/>
    </row>
    <row r="829" spans="4:4" x14ac:dyDescent="0.25">
      <c r="D829" s="13"/>
    </row>
    <row r="830" spans="4:4" x14ac:dyDescent="0.25">
      <c r="D830" s="13"/>
    </row>
    <row r="831" spans="4:4" x14ac:dyDescent="0.25">
      <c r="D831" s="13"/>
    </row>
    <row r="832" spans="4:4" x14ac:dyDescent="0.25">
      <c r="D832" s="13"/>
    </row>
    <row r="833" spans="4:4" x14ac:dyDescent="0.25">
      <c r="D833" s="13"/>
    </row>
    <row r="834" spans="4:4" x14ac:dyDescent="0.25">
      <c r="D834" s="13"/>
    </row>
    <row r="835" spans="4:4" x14ac:dyDescent="0.25">
      <c r="D835" s="13"/>
    </row>
    <row r="836" spans="4:4" x14ac:dyDescent="0.25">
      <c r="D836" s="13"/>
    </row>
    <row r="837" spans="4:4" x14ac:dyDescent="0.25">
      <c r="D837" s="13"/>
    </row>
    <row r="838" spans="4:4" x14ac:dyDescent="0.25">
      <c r="D838" s="13"/>
    </row>
    <row r="839" spans="4:4" x14ac:dyDescent="0.25">
      <c r="D839" s="13"/>
    </row>
    <row r="840" spans="4:4" x14ac:dyDescent="0.25">
      <c r="D840" s="13"/>
    </row>
    <row r="841" spans="4:4" x14ac:dyDescent="0.25">
      <c r="D841" s="13"/>
    </row>
    <row r="842" spans="4:4" x14ac:dyDescent="0.25">
      <c r="D842" s="13"/>
    </row>
    <row r="843" spans="4:4" x14ac:dyDescent="0.25">
      <c r="D843" s="13"/>
    </row>
    <row r="844" spans="4:4" x14ac:dyDescent="0.25">
      <c r="D844" s="13"/>
    </row>
    <row r="845" spans="4:4" x14ac:dyDescent="0.25">
      <c r="D845" s="13"/>
    </row>
    <row r="846" spans="4:4" x14ac:dyDescent="0.25">
      <c r="D846" s="13"/>
    </row>
    <row r="847" spans="4:4" x14ac:dyDescent="0.25">
      <c r="D847" s="13"/>
    </row>
    <row r="848" spans="4:4" x14ac:dyDescent="0.25">
      <c r="D848" s="13"/>
    </row>
    <row r="849" spans="4:4" x14ac:dyDescent="0.25">
      <c r="D849" s="13"/>
    </row>
    <row r="850" spans="4:4" x14ac:dyDescent="0.25">
      <c r="D850" s="13"/>
    </row>
    <row r="851" spans="4:4" x14ac:dyDescent="0.25">
      <c r="D851" s="13"/>
    </row>
    <row r="852" spans="4:4" x14ac:dyDescent="0.25">
      <c r="D852" s="13"/>
    </row>
    <row r="853" spans="4:4" x14ac:dyDescent="0.25">
      <c r="D853" s="13"/>
    </row>
    <row r="854" spans="4:4" x14ac:dyDescent="0.25">
      <c r="D854" s="13"/>
    </row>
    <row r="855" spans="4:4" x14ac:dyDescent="0.25">
      <c r="D855" s="13"/>
    </row>
    <row r="856" spans="4:4" x14ac:dyDescent="0.25">
      <c r="D856" s="13"/>
    </row>
    <row r="857" spans="4:4" x14ac:dyDescent="0.25">
      <c r="D857" s="13"/>
    </row>
    <row r="858" spans="4:4" x14ac:dyDescent="0.25">
      <c r="D858" s="13"/>
    </row>
    <row r="859" spans="4:4" x14ac:dyDescent="0.25">
      <c r="D859" s="13"/>
    </row>
    <row r="860" spans="4:4" x14ac:dyDescent="0.25">
      <c r="D860" s="13"/>
    </row>
    <row r="861" spans="4:4" x14ac:dyDescent="0.25">
      <c r="D861" s="13"/>
    </row>
    <row r="862" spans="4:4" x14ac:dyDescent="0.25">
      <c r="D862" s="13"/>
    </row>
    <row r="863" spans="4:4" x14ac:dyDescent="0.25">
      <c r="D863" s="13"/>
    </row>
    <row r="864" spans="4:4" x14ac:dyDescent="0.25">
      <c r="D864" s="13"/>
    </row>
    <row r="865" spans="4:4" x14ac:dyDescent="0.25">
      <c r="D865" s="13"/>
    </row>
    <row r="866" spans="4:4" x14ac:dyDescent="0.25">
      <c r="D866" s="13"/>
    </row>
    <row r="867" spans="4:4" x14ac:dyDescent="0.25">
      <c r="D867" s="13"/>
    </row>
    <row r="868" spans="4:4" x14ac:dyDescent="0.25">
      <c r="D868" s="13"/>
    </row>
    <row r="869" spans="4:4" x14ac:dyDescent="0.25">
      <c r="D869" s="13"/>
    </row>
    <row r="870" spans="4:4" x14ac:dyDescent="0.25">
      <c r="D870" s="13"/>
    </row>
    <row r="871" spans="4:4" x14ac:dyDescent="0.25">
      <c r="D871" s="13"/>
    </row>
    <row r="872" spans="4:4" x14ac:dyDescent="0.25">
      <c r="D872" s="13"/>
    </row>
    <row r="873" spans="4:4" x14ac:dyDescent="0.25">
      <c r="D873" s="13"/>
    </row>
    <row r="874" spans="4:4" x14ac:dyDescent="0.25">
      <c r="D874" s="13"/>
    </row>
    <row r="875" spans="4:4" x14ac:dyDescent="0.25">
      <c r="D875" s="13"/>
    </row>
    <row r="876" spans="4:4" x14ac:dyDescent="0.25">
      <c r="D876" s="13"/>
    </row>
    <row r="877" spans="4:4" x14ac:dyDescent="0.25">
      <c r="D877" s="13"/>
    </row>
    <row r="878" spans="4:4" x14ac:dyDescent="0.25">
      <c r="D878" s="13"/>
    </row>
    <row r="879" spans="4:4" x14ac:dyDescent="0.25">
      <c r="D879" s="13"/>
    </row>
    <row r="880" spans="4:4" x14ac:dyDescent="0.25">
      <c r="D880" s="13"/>
    </row>
    <row r="881" spans="4:4" x14ac:dyDescent="0.25">
      <c r="D881" s="13"/>
    </row>
    <row r="882" spans="4:4" x14ac:dyDescent="0.25">
      <c r="D882" s="13"/>
    </row>
    <row r="883" spans="4:4" x14ac:dyDescent="0.25">
      <c r="D883" s="13"/>
    </row>
    <row r="884" spans="4:4" x14ac:dyDescent="0.25">
      <c r="D884" s="13"/>
    </row>
    <row r="885" spans="4:4" x14ac:dyDescent="0.25">
      <c r="D885" s="13"/>
    </row>
    <row r="886" spans="4:4" x14ac:dyDescent="0.25">
      <c r="D886" s="13"/>
    </row>
    <row r="887" spans="4:4" x14ac:dyDescent="0.25">
      <c r="D887" s="13"/>
    </row>
    <row r="888" spans="4:4" x14ac:dyDescent="0.25">
      <c r="D888" s="13"/>
    </row>
    <row r="889" spans="4:4" x14ac:dyDescent="0.25">
      <c r="D889" s="13"/>
    </row>
    <row r="890" spans="4:4" x14ac:dyDescent="0.25">
      <c r="D890" s="13"/>
    </row>
    <row r="891" spans="4:4" x14ac:dyDescent="0.25">
      <c r="D891" s="13"/>
    </row>
    <row r="892" spans="4:4" x14ac:dyDescent="0.25">
      <c r="D892" s="13"/>
    </row>
    <row r="893" spans="4:4" x14ac:dyDescent="0.25">
      <c r="D893" s="13"/>
    </row>
    <row r="894" spans="4:4" x14ac:dyDescent="0.25">
      <c r="D894" s="13"/>
    </row>
    <row r="895" spans="4:4" x14ac:dyDescent="0.25">
      <c r="D895" s="13"/>
    </row>
    <row r="896" spans="4:4" x14ac:dyDescent="0.25">
      <c r="D896" s="13"/>
    </row>
    <row r="897" spans="4:4" x14ac:dyDescent="0.25">
      <c r="D897" s="13"/>
    </row>
    <row r="898" spans="4:4" x14ac:dyDescent="0.25">
      <c r="D898" s="13"/>
    </row>
    <row r="899" spans="4:4" x14ac:dyDescent="0.25">
      <c r="D899" s="13"/>
    </row>
    <row r="900" spans="4:4" x14ac:dyDescent="0.25">
      <c r="D900" s="13"/>
    </row>
    <row r="901" spans="4:4" x14ac:dyDescent="0.25">
      <c r="D901" s="13"/>
    </row>
    <row r="902" spans="4:4" x14ac:dyDescent="0.25">
      <c r="D902" s="13"/>
    </row>
    <row r="903" spans="4:4" x14ac:dyDescent="0.25">
      <c r="D903" s="13"/>
    </row>
    <row r="904" spans="4:4" x14ac:dyDescent="0.25">
      <c r="D904" s="13"/>
    </row>
    <row r="905" spans="4:4" x14ac:dyDescent="0.25">
      <c r="D905" s="13"/>
    </row>
    <row r="906" spans="4:4" x14ac:dyDescent="0.25">
      <c r="D906" s="13"/>
    </row>
    <row r="907" spans="4:4" x14ac:dyDescent="0.25">
      <c r="D907" s="13"/>
    </row>
    <row r="908" spans="4:4" x14ac:dyDescent="0.25">
      <c r="D908" s="13"/>
    </row>
    <row r="909" spans="4:4" x14ac:dyDescent="0.25">
      <c r="D909" s="13"/>
    </row>
    <row r="910" spans="4:4" x14ac:dyDescent="0.25">
      <c r="D910" s="13"/>
    </row>
    <row r="911" spans="4:4" x14ac:dyDescent="0.25">
      <c r="D911" s="13"/>
    </row>
    <row r="912" spans="4:4" x14ac:dyDescent="0.25">
      <c r="D912" s="13"/>
    </row>
    <row r="913" spans="4:4" x14ac:dyDescent="0.25">
      <c r="D913" s="13"/>
    </row>
    <row r="914" spans="4:4" x14ac:dyDescent="0.25">
      <c r="D914" s="13"/>
    </row>
    <row r="915" spans="4:4" x14ac:dyDescent="0.25">
      <c r="D915" s="13"/>
    </row>
    <row r="916" spans="4:4" x14ac:dyDescent="0.25">
      <c r="D916" s="13"/>
    </row>
    <row r="917" spans="4:4" x14ac:dyDescent="0.25">
      <c r="D917" s="13"/>
    </row>
    <row r="918" spans="4:4" x14ac:dyDescent="0.25">
      <c r="D918" s="13"/>
    </row>
    <row r="919" spans="4:4" x14ac:dyDescent="0.25">
      <c r="D919" s="13"/>
    </row>
    <row r="920" spans="4:4" x14ac:dyDescent="0.25">
      <c r="D920" s="13"/>
    </row>
    <row r="921" spans="4:4" x14ac:dyDescent="0.25">
      <c r="D921" s="13"/>
    </row>
    <row r="922" spans="4:4" x14ac:dyDescent="0.25">
      <c r="D922" s="13"/>
    </row>
    <row r="923" spans="4:4" x14ac:dyDescent="0.25">
      <c r="D923" s="13"/>
    </row>
    <row r="924" spans="4:4" x14ac:dyDescent="0.25">
      <c r="D924" s="13"/>
    </row>
    <row r="925" spans="4:4" x14ac:dyDescent="0.25">
      <c r="D925" s="13"/>
    </row>
    <row r="926" spans="4:4" x14ac:dyDescent="0.25">
      <c r="D926" s="13"/>
    </row>
    <row r="927" spans="4:4" x14ac:dyDescent="0.25">
      <c r="D927" s="13"/>
    </row>
    <row r="928" spans="4:4" x14ac:dyDescent="0.25">
      <c r="D928" s="13"/>
    </row>
    <row r="929" spans="4:4" x14ac:dyDescent="0.25">
      <c r="D929" s="13"/>
    </row>
    <row r="930" spans="4:4" x14ac:dyDescent="0.25">
      <c r="D930" s="13"/>
    </row>
    <row r="931" spans="4:4" x14ac:dyDescent="0.25">
      <c r="D931" s="13"/>
    </row>
    <row r="932" spans="4:4" x14ac:dyDescent="0.25">
      <c r="D932" s="13"/>
    </row>
    <row r="933" spans="4:4" x14ac:dyDescent="0.25">
      <c r="D933" s="13"/>
    </row>
    <row r="934" spans="4:4" x14ac:dyDescent="0.25">
      <c r="D934" s="13"/>
    </row>
    <row r="935" spans="4:4" x14ac:dyDescent="0.25">
      <c r="D935" s="13"/>
    </row>
    <row r="936" spans="4:4" x14ac:dyDescent="0.25">
      <c r="D936" s="13"/>
    </row>
    <row r="937" spans="4:4" x14ac:dyDescent="0.25">
      <c r="D937" s="13"/>
    </row>
    <row r="938" spans="4:4" x14ac:dyDescent="0.25">
      <c r="D938" s="13"/>
    </row>
    <row r="939" spans="4:4" x14ac:dyDescent="0.25">
      <c r="D939" s="13"/>
    </row>
    <row r="940" spans="4:4" x14ac:dyDescent="0.25">
      <c r="D940" s="13"/>
    </row>
    <row r="941" spans="4:4" x14ac:dyDescent="0.25">
      <c r="D941" s="13"/>
    </row>
    <row r="942" spans="4:4" x14ac:dyDescent="0.25">
      <c r="D942" s="13"/>
    </row>
    <row r="943" spans="4:4" x14ac:dyDescent="0.25">
      <c r="D943" s="13"/>
    </row>
    <row r="944" spans="4:4" x14ac:dyDescent="0.25">
      <c r="D944" s="13"/>
    </row>
    <row r="945" spans="4:4" x14ac:dyDescent="0.25">
      <c r="D945" s="13"/>
    </row>
    <row r="946" spans="4:4" x14ac:dyDescent="0.25">
      <c r="D946" s="13"/>
    </row>
    <row r="947" spans="4:4" x14ac:dyDescent="0.25">
      <c r="D947" s="13"/>
    </row>
    <row r="948" spans="4:4" x14ac:dyDescent="0.25">
      <c r="D948" s="13"/>
    </row>
    <row r="949" spans="4:4" x14ac:dyDescent="0.25">
      <c r="D949" s="13"/>
    </row>
    <row r="950" spans="4:4" x14ac:dyDescent="0.25">
      <c r="D950" s="13"/>
    </row>
    <row r="951" spans="4:4" x14ac:dyDescent="0.25">
      <c r="D951" s="13"/>
    </row>
    <row r="952" spans="4:4" x14ac:dyDescent="0.25">
      <c r="D952" s="13"/>
    </row>
    <row r="953" spans="4:4" x14ac:dyDescent="0.25">
      <c r="D953" s="13"/>
    </row>
    <row r="954" spans="4:4" x14ac:dyDescent="0.25">
      <c r="D954" s="13"/>
    </row>
    <row r="955" spans="4:4" x14ac:dyDescent="0.25">
      <c r="D955" s="13"/>
    </row>
    <row r="956" spans="4:4" x14ac:dyDescent="0.25">
      <c r="D956" s="13"/>
    </row>
    <row r="957" spans="4:4" x14ac:dyDescent="0.25">
      <c r="D957" s="13"/>
    </row>
    <row r="958" spans="4:4" x14ac:dyDescent="0.25">
      <c r="D958" s="13"/>
    </row>
    <row r="959" spans="4:4" x14ac:dyDescent="0.25">
      <c r="D959" s="13"/>
    </row>
    <row r="960" spans="4:4" x14ac:dyDescent="0.25">
      <c r="D960" s="13"/>
    </row>
    <row r="961" spans="4:4" x14ac:dyDescent="0.25">
      <c r="D961" s="13"/>
    </row>
    <row r="962" spans="4:4" x14ac:dyDescent="0.25">
      <c r="D962" s="13"/>
    </row>
    <row r="963" spans="4:4" x14ac:dyDescent="0.25">
      <c r="D963" s="13"/>
    </row>
    <row r="964" spans="4:4" x14ac:dyDescent="0.25">
      <c r="D964" s="13"/>
    </row>
    <row r="965" spans="4:4" x14ac:dyDescent="0.25">
      <c r="D965" s="13"/>
    </row>
    <row r="966" spans="4:4" x14ac:dyDescent="0.25">
      <c r="D966" s="13"/>
    </row>
    <row r="967" spans="4:4" x14ac:dyDescent="0.25">
      <c r="D967" s="13"/>
    </row>
    <row r="968" spans="4:4" x14ac:dyDescent="0.25">
      <c r="D968" s="13"/>
    </row>
    <row r="969" spans="4:4" x14ac:dyDescent="0.25">
      <c r="D969" s="13"/>
    </row>
    <row r="970" spans="4:4" x14ac:dyDescent="0.25">
      <c r="D970" s="13"/>
    </row>
    <row r="971" spans="4:4" x14ac:dyDescent="0.25">
      <c r="D971" s="13"/>
    </row>
    <row r="972" spans="4:4" x14ac:dyDescent="0.25">
      <c r="D972" s="13"/>
    </row>
    <row r="973" spans="4:4" x14ac:dyDescent="0.25">
      <c r="D973" s="13"/>
    </row>
    <row r="974" spans="4:4" x14ac:dyDescent="0.25">
      <c r="D974" s="13"/>
    </row>
    <row r="975" spans="4:4" x14ac:dyDescent="0.25">
      <c r="D975" s="13"/>
    </row>
    <row r="976" spans="4:4" x14ac:dyDescent="0.25">
      <c r="D976" s="13"/>
    </row>
    <row r="977" spans="4:4" x14ac:dyDescent="0.25">
      <c r="D977" s="13"/>
    </row>
    <row r="978" spans="4:4" x14ac:dyDescent="0.25">
      <c r="D978" s="13"/>
    </row>
    <row r="979" spans="4:4" x14ac:dyDescent="0.25">
      <c r="D979" s="13"/>
    </row>
    <row r="980" spans="4:4" x14ac:dyDescent="0.25">
      <c r="D980" s="13"/>
    </row>
    <row r="981" spans="4:4" x14ac:dyDescent="0.25">
      <c r="D981" s="13"/>
    </row>
    <row r="982" spans="4:4" x14ac:dyDescent="0.25">
      <c r="D982" s="13"/>
    </row>
    <row r="983" spans="4:4" x14ac:dyDescent="0.25">
      <c r="D983" s="13"/>
    </row>
    <row r="984" spans="4:4" x14ac:dyDescent="0.25">
      <c r="D984" s="13"/>
    </row>
    <row r="985" spans="4:4" x14ac:dyDescent="0.25">
      <c r="D985" s="13"/>
    </row>
    <row r="986" spans="4:4" x14ac:dyDescent="0.25">
      <c r="D986" s="13"/>
    </row>
    <row r="987" spans="4:4" x14ac:dyDescent="0.25">
      <c r="D987" s="13"/>
    </row>
    <row r="988" spans="4:4" x14ac:dyDescent="0.25">
      <c r="D988" s="13"/>
    </row>
    <row r="989" spans="4:4" x14ac:dyDescent="0.25">
      <c r="D989" s="13"/>
    </row>
    <row r="990" spans="4:4" x14ac:dyDescent="0.25">
      <c r="D990" s="13"/>
    </row>
    <row r="991" spans="4:4" x14ac:dyDescent="0.25">
      <c r="D991" s="13"/>
    </row>
    <row r="992" spans="4:4" x14ac:dyDescent="0.25">
      <c r="D992" s="13"/>
    </row>
    <row r="993" spans="4:4" x14ac:dyDescent="0.25">
      <c r="D993" s="13"/>
    </row>
    <row r="994" spans="4:4" x14ac:dyDescent="0.25">
      <c r="D994" s="13"/>
    </row>
    <row r="995" spans="4:4" x14ac:dyDescent="0.25">
      <c r="D995" s="13"/>
    </row>
    <row r="996" spans="4:4" x14ac:dyDescent="0.25">
      <c r="D996" s="13"/>
    </row>
    <row r="997" spans="4:4" x14ac:dyDescent="0.25">
      <c r="D997" s="13"/>
    </row>
    <row r="998" spans="4:4" x14ac:dyDescent="0.25">
      <c r="D998" s="13"/>
    </row>
    <row r="999" spans="4:4" x14ac:dyDescent="0.25">
      <c r="D999" s="13"/>
    </row>
    <row r="1000" spans="4:4" x14ac:dyDescent="0.25">
      <c r="D1000" s="13"/>
    </row>
    <row r="1001" spans="4:4" x14ac:dyDescent="0.25">
      <c r="D1001" s="13"/>
    </row>
    <row r="1002" spans="4:4" x14ac:dyDescent="0.25">
      <c r="D1002" s="13"/>
    </row>
    <row r="1003" spans="4:4" x14ac:dyDescent="0.25">
      <c r="D1003" s="13"/>
    </row>
    <row r="1004" spans="4:4" x14ac:dyDescent="0.25">
      <c r="D1004" s="13"/>
    </row>
    <row r="1005" spans="4:4" x14ac:dyDescent="0.25">
      <c r="D1005" s="13"/>
    </row>
    <row r="1006" spans="4:4" x14ac:dyDescent="0.25">
      <c r="D1006" s="13"/>
    </row>
    <row r="1007" spans="4:4" x14ac:dyDescent="0.25">
      <c r="D1007" s="13"/>
    </row>
    <row r="1008" spans="4:4" x14ac:dyDescent="0.25">
      <c r="D1008" s="13"/>
    </row>
    <row r="1009" spans="4:4" x14ac:dyDescent="0.25">
      <c r="D1009" s="13"/>
    </row>
    <row r="1010" spans="4:4" x14ac:dyDescent="0.25">
      <c r="D1010" s="13"/>
    </row>
    <row r="1011" spans="4:4" x14ac:dyDescent="0.25">
      <c r="D1011" s="13"/>
    </row>
    <row r="1012" spans="4:4" x14ac:dyDescent="0.25">
      <c r="D1012" s="13"/>
    </row>
    <row r="1013" spans="4:4" x14ac:dyDescent="0.25">
      <c r="D1013" s="13"/>
    </row>
    <row r="1014" spans="4:4" x14ac:dyDescent="0.25">
      <c r="D1014" s="13"/>
    </row>
    <row r="1015" spans="4:4" x14ac:dyDescent="0.25">
      <c r="D1015" s="13"/>
    </row>
    <row r="1016" spans="4:4" x14ac:dyDescent="0.25">
      <c r="D1016" s="13"/>
    </row>
    <row r="1017" spans="4:4" x14ac:dyDescent="0.25">
      <c r="D1017" s="13"/>
    </row>
    <row r="1018" spans="4:4" x14ac:dyDescent="0.25">
      <c r="D1018" s="13"/>
    </row>
    <row r="1019" spans="4:4" x14ac:dyDescent="0.25">
      <c r="D1019" s="13"/>
    </row>
    <row r="1020" spans="4:4" x14ac:dyDescent="0.25">
      <c r="D1020" s="13"/>
    </row>
    <row r="1021" spans="4:4" x14ac:dyDescent="0.25">
      <c r="D1021" s="13"/>
    </row>
    <row r="1022" spans="4:4" x14ac:dyDescent="0.25">
      <c r="D1022" s="13"/>
    </row>
    <row r="1023" spans="4:4" x14ac:dyDescent="0.25">
      <c r="D1023" s="13"/>
    </row>
    <row r="1024" spans="4:4" x14ac:dyDescent="0.25">
      <c r="D1024" s="13"/>
    </row>
    <row r="1025" spans="4:4" x14ac:dyDescent="0.25">
      <c r="D1025" s="13"/>
    </row>
    <row r="1026" spans="4:4" x14ac:dyDescent="0.25">
      <c r="D1026" s="13"/>
    </row>
    <row r="1027" spans="4:4" x14ac:dyDescent="0.25">
      <c r="D1027" s="13"/>
    </row>
    <row r="1028" spans="4:4" x14ac:dyDescent="0.25">
      <c r="D1028" s="13"/>
    </row>
    <row r="1029" spans="4:4" x14ac:dyDescent="0.25">
      <c r="D1029" s="13"/>
    </row>
    <row r="1030" spans="4:4" x14ac:dyDescent="0.25">
      <c r="D1030" s="13"/>
    </row>
    <row r="1031" spans="4:4" x14ac:dyDescent="0.25">
      <c r="D1031" s="13"/>
    </row>
    <row r="1032" spans="4:4" x14ac:dyDescent="0.25">
      <c r="D1032" s="13"/>
    </row>
    <row r="1033" spans="4:4" x14ac:dyDescent="0.25">
      <c r="D1033" s="13"/>
    </row>
    <row r="1034" spans="4:4" x14ac:dyDescent="0.25">
      <c r="D1034" s="13"/>
    </row>
    <row r="1035" spans="4:4" x14ac:dyDescent="0.25">
      <c r="D1035" s="13"/>
    </row>
    <row r="1036" spans="4:4" x14ac:dyDescent="0.25">
      <c r="D1036" s="13"/>
    </row>
    <row r="1037" spans="4:4" x14ac:dyDescent="0.25">
      <c r="D1037" s="13"/>
    </row>
    <row r="1038" spans="4:4" x14ac:dyDescent="0.25">
      <c r="D1038" s="13"/>
    </row>
    <row r="1039" spans="4:4" x14ac:dyDescent="0.25">
      <c r="D1039" s="13"/>
    </row>
    <row r="1040" spans="4:4" x14ac:dyDescent="0.25">
      <c r="D1040" s="13"/>
    </row>
    <row r="1041" spans="4:4" x14ac:dyDescent="0.25">
      <c r="D1041" s="13"/>
    </row>
    <row r="1042" spans="4:4" x14ac:dyDescent="0.25">
      <c r="D1042" s="13"/>
    </row>
    <row r="1043" spans="4:4" x14ac:dyDescent="0.25">
      <c r="D1043" s="13"/>
    </row>
    <row r="1044" spans="4:4" x14ac:dyDescent="0.25">
      <c r="D1044" s="13"/>
    </row>
    <row r="1045" spans="4:4" x14ac:dyDescent="0.25">
      <c r="D1045" s="13"/>
    </row>
    <row r="1046" spans="4:4" x14ac:dyDescent="0.25">
      <c r="D1046" s="13"/>
    </row>
    <row r="1047" spans="4:4" x14ac:dyDescent="0.25">
      <c r="D1047" s="13"/>
    </row>
    <row r="1048" spans="4:4" x14ac:dyDescent="0.25">
      <c r="D1048" s="13"/>
    </row>
    <row r="1049" spans="4:4" x14ac:dyDescent="0.25">
      <c r="D1049" s="13"/>
    </row>
    <row r="1050" spans="4:4" x14ac:dyDescent="0.25">
      <c r="D1050" s="13"/>
    </row>
    <row r="1051" spans="4:4" x14ac:dyDescent="0.25">
      <c r="D1051" s="13"/>
    </row>
    <row r="1052" spans="4:4" x14ac:dyDescent="0.25">
      <c r="D1052" s="13"/>
    </row>
    <row r="1053" spans="4:4" x14ac:dyDescent="0.25">
      <c r="D1053" s="13"/>
    </row>
    <row r="1054" spans="4:4" x14ac:dyDescent="0.25">
      <c r="D1054" s="13"/>
    </row>
    <row r="1055" spans="4:4" x14ac:dyDescent="0.25">
      <c r="D1055" s="13"/>
    </row>
    <row r="1056" spans="4:4" x14ac:dyDescent="0.25">
      <c r="D1056" s="13"/>
    </row>
    <row r="1057" spans="4:4" x14ac:dyDescent="0.25">
      <c r="D1057" s="13"/>
    </row>
    <row r="1058" spans="4:4" x14ac:dyDescent="0.25">
      <c r="D1058" s="13"/>
    </row>
    <row r="1059" spans="4:4" x14ac:dyDescent="0.25">
      <c r="D1059" s="13"/>
    </row>
    <row r="1060" spans="4:4" x14ac:dyDescent="0.25">
      <c r="D1060" s="13"/>
    </row>
    <row r="1061" spans="4:4" x14ac:dyDescent="0.25">
      <c r="D1061" s="13"/>
    </row>
    <row r="1062" spans="4:4" x14ac:dyDescent="0.25">
      <c r="D1062" s="13"/>
    </row>
    <row r="1063" spans="4:4" x14ac:dyDescent="0.25">
      <c r="D1063" s="13"/>
    </row>
    <row r="1064" spans="4:4" x14ac:dyDescent="0.25">
      <c r="D1064" s="13"/>
    </row>
    <row r="1065" spans="4:4" x14ac:dyDescent="0.25">
      <c r="D1065" s="13"/>
    </row>
    <row r="1066" spans="4:4" x14ac:dyDescent="0.25">
      <c r="D1066" s="13"/>
    </row>
    <row r="1067" spans="4:4" x14ac:dyDescent="0.25">
      <c r="D1067" s="13"/>
    </row>
    <row r="1068" spans="4:4" x14ac:dyDescent="0.25">
      <c r="D1068" s="13"/>
    </row>
    <row r="1069" spans="4:4" x14ac:dyDescent="0.25">
      <c r="D1069" s="13"/>
    </row>
    <row r="1070" spans="4:4" x14ac:dyDescent="0.25">
      <c r="D1070" s="13"/>
    </row>
    <row r="1071" spans="4:4" x14ac:dyDescent="0.25">
      <c r="D1071" s="13"/>
    </row>
    <row r="1072" spans="4:4" x14ac:dyDescent="0.25">
      <c r="D1072" s="13"/>
    </row>
    <row r="1073" spans="4:4" x14ac:dyDescent="0.25">
      <c r="D1073" s="13"/>
    </row>
    <row r="1074" spans="4:4" x14ac:dyDescent="0.25">
      <c r="D1074" s="13"/>
    </row>
    <row r="1075" spans="4:4" x14ac:dyDescent="0.25">
      <c r="D1075" s="13"/>
    </row>
    <row r="1076" spans="4:4" x14ac:dyDescent="0.25">
      <c r="D1076" s="13"/>
    </row>
    <row r="1077" spans="4:4" x14ac:dyDescent="0.25">
      <c r="D1077" s="13"/>
    </row>
    <row r="1078" spans="4:4" x14ac:dyDescent="0.25">
      <c r="D1078" s="13"/>
    </row>
    <row r="1079" spans="4:4" x14ac:dyDescent="0.25">
      <c r="D1079" s="13"/>
    </row>
    <row r="1080" spans="4:4" x14ac:dyDescent="0.25">
      <c r="D1080" s="13"/>
    </row>
    <row r="1081" spans="4:4" x14ac:dyDescent="0.25">
      <c r="D1081" s="13"/>
    </row>
    <row r="1082" spans="4:4" x14ac:dyDescent="0.25">
      <c r="D1082" s="13"/>
    </row>
    <row r="1083" spans="4:4" x14ac:dyDescent="0.25">
      <c r="D1083" s="13"/>
    </row>
    <row r="1084" spans="4:4" x14ac:dyDescent="0.25">
      <c r="D1084" s="13"/>
    </row>
    <row r="1085" spans="4:4" x14ac:dyDescent="0.25">
      <c r="D1085" s="13"/>
    </row>
    <row r="1086" spans="4:4" x14ac:dyDescent="0.25">
      <c r="D1086" s="13"/>
    </row>
    <row r="1087" spans="4:4" x14ac:dyDescent="0.25">
      <c r="D1087" s="13"/>
    </row>
    <row r="1088" spans="4:4" x14ac:dyDescent="0.25">
      <c r="D1088" s="13"/>
    </row>
    <row r="1089" spans="4:4" x14ac:dyDescent="0.25">
      <c r="D1089" s="13"/>
    </row>
    <row r="1090" spans="4:4" x14ac:dyDescent="0.25">
      <c r="D1090" s="13"/>
    </row>
    <row r="1091" spans="4:4" x14ac:dyDescent="0.25">
      <c r="D1091" s="13"/>
    </row>
    <row r="1092" spans="4:4" x14ac:dyDescent="0.25">
      <c r="D1092" s="13"/>
    </row>
    <row r="1093" spans="4:4" x14ac:dyDescent="0.25">
      <c r="D1093" s="13"/>
    </row>
    <row r="1094" spans="4:4" x14ac:dyDescent="0.25">
      <c r="D1094" s="13"/>
    </row>
    <row r="1095" spans="4:4" x14ac:dyDescent="0.25">
      <c r="D1095" s="13"/>
    </row>
    <row r="1096" spans="4:4" x14ac:dyDescent="0.25">
      <c r="D1096" s="13"/>
    </row>
    <row r="1097" spans="4:4" x14ac:dyDescent="0.25">
      <c r="D1097" s="13"/>
    </row>
    <row r="1098" spans="4:4" x14ac:dyDescent="0.25">
      <c r="D1098" s="13"/>
    </row>
    <row r="1099" spans="4:4" x14ac:dyDescent="0.25">
      <c r="D1099" s="13"/>
    </row>
    <row r="1100" spans="4:4" x14ac:dyDescent="0.25">
      <c r="D1100" s="13"/>
    </row>
    <row r="1101" spans="4:4" x14ac:dyDescent="0.25">
      <c r="D1101" s="13"/>
    </row>
    <row r="1102" spans="4:4" x14ac:dyDescent="0.25">
      <c r="D1102" s="13"/>
    </row>
    <row r="1103" spans="4:4" x14ac:dyDescent="0.25">
      <c r="D1103" s="13"/>
    </row>
    <row r="1104" spans="4:4" x14ac:dyDescent="0.25">
      <c r="D1104" s="13"/>
    </row>
    <row r="1105" spans="4:4" x14ac:dyDescent="0.25">
      <c r="D1105" s="13"/>
    </row>
    <row r="1106" spans="4:4" x14ac:dyDescent="0.25">
      <c r="D1106" s="13"/>
    </row>
    <row r="1107" spans="4:4" x14ac:dyDescent="0.25">
      <c r="D1107" s="13"/>
    </row>
    <row r="1108" spans="4:4" x14ac:dyDescent="0.25">
      <c r="D1108" s="13"/>
    </row>
    <row r="1109" spans="4:4" x14ac:dyDescent="0.25">
      <c r="D1109" s="13"/>
    </row>
    <row r="1110" spans="4:4" x14ac:dyDescent="0.25">
      <c r="D1110" s="13"/>
    </row>
    <row r="1111" spans="4:4" x14ac:dyDescent="0.25">
      <c r="D1111" s="13"/>
    </row>
    <row r="1112" spans="4:4" x14ac:dyDescent="0.25">
      <c r="D1112" s="13"/>
    </row>
    <row r="1113" spans="4:4" x14ac:dyDescent="0.25">
      <c r="D1113" s="13"/>
    </row>
    <row r="1114" spans="4:4" x14ac:dyDescent="0.25">
      <c r="D1114" s="13"/>
    </row>
    <row r="1115" spans="4:4" x14ac:dyDescent="0.25">
      <c r="D1115" s="13"/>
    </row>
    <row r="1116" spans="4:4" x14ac:dyDescent="0.25">
      <c r="D1116" s="13"/>
    </row>
    <row r="1117" spans="4:4" x14ac:dyDescent="0.25">
      <c r="D1117" s="13"/>
    </row>
    <row r="1118" spans="4:4" x14ac:dyDescent="0.25">
      <c r="D1118" s="13"/>
    </row>
    <row r="1119" spans="4:4" x14ac:dyDescent="0.25">
      <c r="D1119" s="13"/>
    </row>
    <row r="1120" spans="4:4" x14ac:dyDescent="0.25">
      <c r="D1120" s="13"/>
    </row>
    <row r="1121" spans="4:4" x14ac:dyDescent="0.25">
      <c r="D1121" s="13"/>
    </row>
    <row r="1122" spans="4:4" x14ac:dyDescent="0.25">
      <c r="D1122" s="13"/>
    </row>
    <row r="1123" spans="4:4" x14ac:dyDescent="0.25">
      <c r="D1123" s="13"/>
    </row>
    <row r="1124" spans="4:4" x14ac:dyDescent="0.25">
      <c r="D1124" s="13"/>
    </row>
    <row r="1125" spans="4:4" x14ac:dyDescent="0.25">
      <c r="D1125" s="13"/>
    </row>
    <row r="1126" spans="4:4" x14ac:dyDescent="0.25">
      <c r="D1126" s="13"/>
    </row>
    <row r="1127" spans="4:4" x14ac:dyDescent="0.25">
      <c r="D1127" s="13"/>
    </row>
    <row r="1128" spans="4:4" x14ac:dyDescent="0.25">
      <c r="D1128" s="13"/>
    </row>
    <row r="1129" spans="4:4" x14ac:dyDescent="0.25">
      <c r="D1129" s="13"/>
    </row>
    <row r="1130" spans="4:4" x14ac:dyDescent="0.25">
      <c r="D1130" s="13"/>
    </row>
    <row r="1131" spans="4:4" x14ac:dyDescent="0.25">
      <c r="D1131" s="13"/>
    </row>
    <row r="1132" spans="4:4" x14ac:dyDescent="0.25">
      <c r="D1132" s="13"/>
    </row>
    <row r="1133" spans="4:4" x14ac:dyDescent="0.25">
      <c r="D1133" s="13"/>
    </row>
    <row r="1134" spans="4:4" x14ac:dyDescent="0.25">
      <c r="D1134" s="13"/>
    </row>
    <row r="1135" spans="4:4" x14ac:dyDescent="0.25">
      <c r="D1135" s="13"/>
    </row>
    <row r="1136" spans="4:4" x14ac:dyDescent="0.25">
      <c r="D1136" s="13"/>
    </row>
    <row r="1137" spans="4:4" x14ac:dyDescent="0.25">
      <c r="D1137" s="13"/>
    </row>
    <row r="1138" spans="4:4" x14ac:dyDescent="0.25">
      <c r="D1138" s="13"/>
    </row>
    <row r="1139" spans="4:4" x14ac:dyDescent="0.25">
      <c r="D1139" s="13"/>
    </row>
    <row r="1140" spans="4:4" x14ac:dyDescent="0.25">
      <c r="D1140" s="13"/>
    </row>
    <row r="1141" spans="4:4" x14ac:dyDescent="0.25">
      <c r="D1141" s="13"/>
    </row>
    <row r="1142" spans="4:4" x14ac:dyDescent="0.25">
      <c r="D1142" s="13"/>
    </row>
    <row r="1143" spans="4:4" x14ac:dyDescent="0.25">
      <c r="D1143" s="13"/>
    </row>
    <row r="1144" spans="4:4" x14ac:dyDescent="0.25">
      <c r="D1144" s="13"/>
    </row>
    <row r="1145" spans="4:4" x14ac:dyDescent="0.25">
      <c r="D1145" s="13"/>
    </row>
    <row r="1146" spans="4:4" x14ac:dyDescent="0.25">
      <c r="D1146" s="13"/>
    </row>
    <row r="1147" spans="4:4" x14ac:dyDescent="0.25">
      <c r="D1147" s="13"/>
    </row>
    <row r="1148" spans="4:4" x14ac:dyDescent="0.25">
      <c r="D1148" s="13"/>
    </row>
    <row r="1149" spans="4:4" x14ac:dyDescent="0.25">
      <c r="D1149" s="13"/>
    </row>
    <row r="1150" spans="4:4" x14ac:dyDescent="0.25">
      <c r="D1150" s="13"/>
    </row>
    <row r="1151" spans="4:4" x14ac:dyDescent="0.25">
      <c r="D1151" s="13"/>
    </row>
    <row r="1152" spans="4:4" x14ac:dyDescent="0.25">
      <c r="D1152" s="13"/>
    </row>
    <row r="1153" spans="4:4" x14ac:dyDescent="0.25">
      <c r="D1153" s="13"/>
    </row>
    <row r="1154" spans="4:4" x14ac:dyDescent="0.25">
      <c r="D1154" s="13"/>
    </row>
    <row r="1155" spans="4:4" x14ac:dyDescent="0.25">
      <c r="D1155" s="13"/>
    </row>
    <row r="1156" spans="4:4" x14ac:dyDescent="0.25">
      <c r="D1156" s="13"/>
    </row>
    <row r="1157" spans="4:4" x14ac:dyDescent="0.25">
      <c r="D1157" s="13"/>
    </row>
    <row r="1158" spans="4:4" x14ac:dyDescent="0.25">
      <c r="D1158" s="13"/>
    </row>
    <row r="1159" spans="4:4" x14ac:dyDescent="0.25">
      <c r="D1159" s="13"/>
    </row>
    <row r="1160" spans="4:4" x14ac:dyDescent="0.25">
      <c r="D1160" s="13"/>
    </row>
    <row r="1161" spans="4:4" x14ac:dyDescent="0.25">
      <c r="D1161" s="13"/>
    </row>
    <row r="1162" spans="4:4" x14ac:dyDescent="0.25">
      <c r="D1162" s="13"/>
    </row>
    <row r="1163" spans="4:4" x14ac:dyDescent="0.25">
      <c r="D1163" s="13"/>
    </row>
    <row r="1164" spans="4:4" x14ac:dyDescent="0.25">
      <c r="D1164" s="13"/>
    </row>
    <row r="1165" spans="4:4" x14ac:dyDescent="0.25">
      <c r="D1165" s="13"/>
    </row>
    <row r="1166" spans="4:4" x14ac:dyDescent="0.25">
      <c r="D1166" s="13"/>
    </row>
    <row r="1167" spans="4:4" x14ac:dyDescent="0.25">
      <c r="D1167" s="13"/>
    </row>
    <row r="1168" spans="4:4" x14ac:dyDescent="0.25">
      <c r="D1168" s="13"/>
    </row>
    <row r="1169" spans="4:4" x14ac:dyDescent="0.25">
      <c r="D1169" s="13"/>
    </row>
    <row r="1170" spans="4:4" x14ac:dyDescent="0.25">
      <c r="D1170" s="13"/>
    </row>
    <row r="1171" spans="4:4" x14ac:dyDescent="0.25">
      <c r="D1171" s="13"/>
    </row>
    <row r="1172" spans="4:4" x14ac:dyDescent="0.25">
      <c r="D1172" s="13"/>
    </row>
    <row r="1173" spans="4:4" x14ac:dyDescent="0.25">
      <c r="D1173" s="13"/>
    </row>
    <row r="1174" spans="4:4" x14ac:dyDescent="0.25">
      <c r="D1174" s="13"/>
    </row>
    <row r="1175" spans="4:4" x14ac:dyDescent="0.25">
      <c r="D1175" s="13"/>
    </row>
    <row r="1176" spans="4:4" x14ac:dyDescent="0.25">
      <c r="D1176" s="13"/>
    </row>
    <row r="1177" spans="4:4" x14ac:dyDescent="0.25">
      <c r="D1177" s="13"/>
    </row>
    <row r="1178" spans="4:4" x14ac:dyDescent="0.25">
      <c r="D1178" s="13"/>
    </row>
    <row r="1179" spans="4:4" x14ac:dyDescent="0.25">
      <c r="D1179" s="13"/>
    </row>
    <row r="1180" spans="4:4" x14ac:dyDescent="0.25">
      <c r="D1180" s="13"/>
    </row>
    <row r="1181" spans="4:4" x14ac:dyDescent="0.25">
      <c r="D1181" s="13"/>
    </row>
    <row r="1182" spans="4:4" x14ac:dyDescent="0.25">
      <c r="D1182" s="13"/>
    </row>
    <row r="1183" spans="4:4" x14ac:dyDescent="0.25">
      <c r="D1183" s="13"/>
    </row>
    <row r="1184" spans="4:4" x14ac:dyDescent="0.25">
      <c r="D1184" s="13"/>
    </row>
    <row r="1185" spans="4:4" x14ac:dyDescent="0.25">
      <c r="D1185" s="13"/>
    </row>
    <row r="1186" spans="4:4" x14ac:dyDescent="0.25">
      <c r="D1186" s="13"/>
    </row>
    <row r="1187" spans="4:4" x14ac:dyDescent="0.25">
      <c r="D1187" s="13"/>
    </row>
    <row r="1188" spans="4:4" x14ac:dyDescent="0.25">
      <c r="D1188" s="13"/>
    </row>
    <row r="1189" spans="4:4" x14ac:dyDescent="0.25">
      <c r="D1189" s="13"/>
    </row>
    <row r="1190" spans="4:4" x14ac:dyDescent="0.25">
      <c r="D1190" s="13"/>
    </row>
    <row r="1191" spans="4:4" x14ac:dyDescent="0.25">
      <c r="D1191" s="13"/>
    </row>
    <row r="1192" spans="4:4" x14ac:dyDescent="0.25">
      <c r="D1192" s="13"/>
    </row>
    <row r="1193" spans="4:4" x14ac:dyDescent="0.25">
      <c r="D1193" s="13"/>
    </row>
    <row r="1194" spans="4:4" x14ac:dyDescent="0.25">
      <c r="D1194" s="13"/>
    </row>
    <row r="1195" spans="4:4" x14ac:dyDescent="0.25">
      <c r="D1195" s="13"/>
    </row>
    <row r="1196" spans="4:4" x14ac:dyDescent="0.25">
      <c r="D1196" s="13"/>
    </row>
    <row r="1197" spans="4:4" x14ac:dyDescent="0.25">
      <c r="D1197" s="13"/>
    </row>
    <row r="1198" spans="4:4" x14ac:dyDescent="0.25">
      <c r="D1198" s="13"/>
    </row>
    <row r="1199" spans="4:4" x14ac:dyDescent="0.25">
      <c r="D1199" s="13"/>
    </row>
    <row r="1200" spans="4:4" x14ac:dyDescent="0.25">
      <c r="D1200" s="13"/>
    </row>
    <row r="1201" spans="4:4" x14ac:dyDescent="0.25">
      <c r="D1201" s="13"/>
    </row>
    <row r="1202" spans="4:4" x14ac:dyDescent="0.25">
      <c r="D1202" s="13"/>
    </row>
    <row r="1203" spans="4:4" x14ac:dyDescent="0.25">
      <c r="D1203" s="13"/>
    </row>
    <row r="1204" spans="4:4" x14ac:dyDescent="0.25">
      <c r="D1204" s="13"/>
    </row>
    <row r="1205" spans="4:4" x14ac:dyDescent="0.25">
      <c r="D1205" s="13"/>
    </row>
    <row r="1206" spans="4:4" x14ac:dyDescent="0.25">
      <c r="D1206" s="13"/>
    </row>
    <row r="1207" spans="4:4" x14ac:dyDescent="0.25">
      <c r="D1207" s="13"/>
    </row>
    <row r="1208" spans="4:4" x14ac:dyDescent="0.25">
      <c r="D1208" s="13"/>
    </row>
    <row r="1209" spans="4:4" x14ac:dyDescent="0.25">
      <c r="D1209" s="13"/>
    </row>
    <row r="1210" spans="4:4" x14ac:dyDescent="0.25">
      <c r="D1210" s="13"/>
    </row>
    <row r="1211" spans="4:4" x14ac:dyDescent="0.25">
      <c r="D1211" s="13"/>
    </row>
    <row r="1212" spans="4:4" x14ac:dyDescent="0.25">
      <c r="D1212" s="13"/>
    </row>
    <row r="1213" spans="4:4" x14ac:dyDescent="0.25">
      <c r="D1213" s="13"/>
    </row>
    <row r="1214" spans="4:4" x14ac:dyDescent="0.25">
      <c r="D1214" s="13"/>
    </row>
    <row r="1215" spans="4:4" x14ac:dyDescent="0.25">
      <c r="D1215" s="13"/>
    </row>
    <row r="1216" spans="4:4" x14ac:dyDescent="0.25">
      <c r="D1216" s="13"/>
    </row>
    <row r="1217" spans="4:4" x14ac:dyDescent="0.25">
      <c r="D1217" s="13"/>
    </row>
    <row r="1218" spans="4:4" x14ac:dyDescent="0.25">
      <c r="D1218" s="13"/>
    </row>
    <row r="1219" spans="4:4" x14ac:dyDescent="0.25">
      <c r="D1219" s="13"/>
    </row>
    <row r="1220" spans="4:4" x14ac:dyDescent="0.25">
      <c r="D1220" s="13"/>
    </row>
    <row r="1221" spans="4:4" x14ac:dyDescent="0.25">
      <c r="D1221" s="13"/>
    </row>
    <row r="1222" spans="4:4" x14ac:dyDescent="0.25">
      <c r="D1222" s="13"/>
    </row>
    <row r="1223" spans="4:4" x14ac:dyDescent="0.25">
      <c r="D1223" s="13"/>
    </row>
    <row r="1224" spans="4:4" x14ac:dyDescent="0.25">
      <c r="D1224" s="13"/>
    </row>
    <row r="1225" spans="4:4" x14ac:dyDescent="0.25">
      <c r="D1225" s="13"/>
    </row>
    <row r="1226" spans="4:4" x14ac:dyDescent="0.25">
      <c r="D1226" s="13"/>
    </row>
    <row r="1227" spans="4:4" x14ac:dyDescent="0.25">
      <c r="D1227" s="13"/>
    </row>
    <row r="1228" spans="4:4" x14ac:dyDescent="0.25">
      <c r="D1228" s="13"/>
    </row>
    <row r="1229" spans="4:4" x14ac:dyDescent="0.25">
      <c r="D1229" s="13"/>
    </row>
    <row r="1230" spans="4:4" x14ac:dyDescent="0.25">
      <c r="D1230" s="13"/>
    </row>
    <row r="1231" spans="4:4" x14ac:dyDescent="0.25">
      <c r="D1231" s="13"/>
    </row>
    <row r="1232" spans="4:4" x14ac:dyDescent="0.25">
      <c r="D1232" s="13"/>
    </row>
    <row r="1233" spans="4:4" x14ac:dyDescent="0.25">
      <c r="D1233" s="13"/>
    </row>
    <row r="1234" spans="4:4" x14ac:dyDescent="0.25">
      <c r="D1234" s="13"/>
    </row>
    <row r="1235" spans="4:4" x14ac:dyDescent="0.25">
      <c r="D1235" s="13"/>
    </row>
    <row r="1236" spans="4:4" x14ac:dyDescent="0.25">
      <c r="D1236" s="13"/>
    </row>
    <row r="1237" spans="4:4" x14ac:dyDescent="0.25">
      <c r="D1237" s="13"/>
    </row>
    <row r="1238" spans="4:4" x14ac:dyDescent="0.25">
      <c r="D1238" s="13"/>
    </row>
    <row r="1239" spans="4:4" x14ac:dyDescent="0.25">
      <c r="D1239" s="13"/>
    </row>
    <row r="1240" spans="4:4" x14ac:dyDescent="0.25">
      <c r="D1240" s="13"/>
    </row>
    <row r="1241" spans="4:4" x14ac:dyDescent="0.25">
      <c r="D1241" s="13"/>
    </row>
    <row r="1242" spans="4:4" x14ac:dyDescent="0.25">
      <c r="D1242" s="13"/>
    </row>
    <row r="1243" spans="4:4" x14ac:dyDescent="0.25">
      <c r="D1243" s="13"/>
    </row>
    <row r="1244" spans="4:4" x14ac:dyDescent="0.25">
      <c r="D1244" s="13"/>
    </row>
    <row r="1245" spans="4:4" x14ac:dyDescent="0.25">
      <c r="D1245" s="13"/>
    </row>
    <row r="1246" spans="4:4" x14ac:dyDescent="0.25">
      <c r="D1246" s="13"/>
    </row>
    <row r="1247" spans="4:4" x14ac:dyDescent="0.25">
      <c r="D1247" s="13"/>
    </row>
    <row r="1248" spans="4:4" x14ac:dyDescent="0.25">
      <c r="D1248" s="13"/>
    </row>
    <row r="1249" spans="4:4" x14ac:dyDescent="0.25">
      <c r="D1249" s="13"/>
    </row>
    <row r="1250" spans="4:4" x14ac:dyDescent="0.25">
      <c r="D1250" s="13"/>
    </row>
    <row r="1251" spans="4:4" x14ac:dyDescent="0.25">
      <c r="D1251" s="13"/>
    </row>
    <row r="1252" spans="4:4" x14ac:dyDescent="0.25">
      <c r="D1252" s="13"/>
    </row>
    <row r="1253" spans="4:4" x14ac:dyDescent="0.25">
      <c r="D1253" s="13"/>
    </row>
    <row r="1254" spans="4:4" x14ac:dyDescent="0.25">
      <c r="D1254" s="13"/>
    </row>
    <row r="1255" spans="4:4" x14ac:dyDescent="0.25">
      <c r="D1255" s="13"/>
    </row>
    <row r="1256" spans="4:4" x14ac:dyDescent="0.25">
      <c r="D1256" s="13"/>
    </row>
    <row r="1257" spans="4:4" x14ac:dyDescent="0.25">
      <c r="D1257" s="13"/>
    </row>
    <row r="1258" spans="4:4" x14ac:dyDescent="0.25">
      <c r="D1258" s="13"/>
    </row>
    <row r="1259" spans="4:4" x14ac:dyDescent="0.25">
      <c r="D1259" s="13"/>
    </row>
    <row r="1260" spans="4:4" x14ac:dyDescent="0.25">
      <c r="D1260" s="13"/>
    </row>
    <row r="1261" spans="4:4" x14ac:dyDescent="0.25">
      <c r="D1261" s="13"/>
    </row>
    <row r="1262" spans="4:4" x14ac:dyDescent="0.25">
      <c r="D1262" s="13"/>
    </row>
    <row r="1263" spans="4:4" x14ac:dyDescent="0.25">
      <c r="D1263" s="13"/>
    </row>
    <row r="1264" spans="4:4" x14ac:dyDescent="0.25">
      <c r="D1264" s="13"/>
    </row>
    <row r="1265" spans="4:4" x14ac:dyDescent="0.25">
      <c r="D1265" s="13"/>
    </row>
    <row r="1266" spans="4:4" x14ac:dyDescent="0.25">
      <c r="D1266" s="13"/>
    </row>
    <row r="1267" spans="4:4" x14ac:dyDescent="0.25">
      <c r="D1267" s="13"/>
    </row>
    <row r="1268" spans="4:4" x14ac:dyDescent="0.25">
      <c r="D1268" s="13"/>
    </row>
    <row r="1269" spans="4:4" x14ac:dyDescent="0.25">
      <c r="D1269" s="13"/>
    </row>
    <row r="1270" spans="4:4" x14ac:dyDescent="0.25">
      <c r="D1270" s="13"/>
    </row>
    <row r="1271" spans="4:4" x14ac:dyDescent="0.25">
      <c r="D1271" s="13"/>
    </row>
    <row r="1272" spans="4:4" x14ac:dyDescent="0.25">
      <c r="D1272" s="13"/>
    </row>
    <row r="1273" spans="4:4" x14ac:dyDescent="0.25">
      <c r="D1273" s="13"/>
    </row>
    <row r="1274" spans="4:4" x14ac:dyDescent="0.25">
      <c r="D1274" s="13"/>
    </row>
    <row r="1275" spans="4:4" x14ac:dyDescent="0.25">
      <c r="D1275" s="13"/>
    </row>
    <row r="1276" spans="4:4" x14ac:dyDescent="0.25">
      <c r="D1276" s="13"/>
    </row>
    <row r="1277" spans="4:4" x14ac:dyDescent="0.25">
      <c r="D1277" s="13"/>
    </row>
    <row r="1278" spans="4:4" x14ac:dyDescent="0.25">
      <c r="D1278" s="13"/>
    </row>
    <row r="1279" spans="4:4" x14ac:dyDescent="0.25">
      <c r="D1279" s="13"/>
    </row>
    <row r="1280" spans="4:4" x14ac:dyDescent="0.25">
      <c r="D1280" s="13"/>
    </row>
    <row r="1281" spans="4:4" x14ac:dyDescent="0.25">
      <c r="D1281" s="13"/>
    </row>
    <row r="1282" spans="4:4" x14ac:dyDescent="0.25">
      <c r="D1282" s="13"/>
    </row>
    <row r="1283" spans="4:4" x14ac:dyDescent="0.25">
      <c r="D1283" s="13"/>
    </row>
    <row r="1284" spans="4:4" x14ac:dyDescent="0.25">
      <c r="D1284" s="13"/>
    </row>
    <row r="1285" spans="4:4" x14ac:dyDescent="0.25">
      <c r="D1285" s="13"/>
    </row>
    <row r="1286" spans="4:4" x14ac:dyDescent="0.25">
      <c r="D1286" s="13"/>
    </row>
    <row r="1287" spans="4:4" x14ac:dyDescent="0.25">
      <c r="D1287" s="13"/>
    </row>
    <row r="1288" spans="4:4" x14ac:dyDescent="0.25">
      <c r="D1288" s="13"/>
    </row>
    <row r="1289" spans="4:4" x14ac:dyDescent="0.25">
      <c r="D1289" s="13"/>
    </row>
    <row r="1290" spans="4:4" x14ac:dyDescent="0.25">
      <c r="D1290" s="13"/>
    </row>
    <row r="1291" spans="4:4" x14ac:dyDescent="0.25">
      <c r="D1291" s="13"/>
    </row>
    <row r="1292" spans="4:4" x14ac:dyDescent="0.25">
      <c r="D1292" s="13"/>
    </row>
    <row r="1293" spans="4:4" x14ac:dyDescent="0.25">
      <c r="D1293" s="13"/>
    </row>
    <row r="1294" spans="4:4" x14ac:dyDescent="0.25">
      <c r="D1294" s="13"/>
    </row>
    <row r="1295" spans="4:4" x14ac:dyDescent="0.25">
      <c r="D1295" s="13"/>
    </row>
    <row r="1296" spans="4:4" x14ac:dyDescent="0.25">
      <c r="D1296" s="13"/>
    </row>
    <row r="1297" spans="4:4" x14ac:dyDescent="0.25">
      <c r="D1297" s="13"/>
    </row>
    <row r="1298" spans="4:4" x14ac:dyDescent="0.25">
      <c r="D1298" s="13"/>
    </row>
    <row r="1299" spans="4:4" x14ac:dyDescent="0.25">
      <c r="D1299" s="13"/>
    </row>
    <row r="1300" spans="4:4" x14ac:dyDescent="0.25">
      <c r="D1300" s="13"/>
    </row>
    <row r="1301" spans="4:4" x14ac:dyDescent="0.25">
      <c r="D1301" s="13"/>
    </row>
    <row r="1302" spans="4:4" x14ac:dyDescent="0.25">
      <c r="D1302" s="13"/>
    </row>
    <row r="1303" spans="4:4" x14ac:dyDescent="0.25">
      <c r="D1303" s="13"/>
    </row>
    <row r="1304" spans="4:4" x14ac:dyDescent="0.25">
      <c r="D1304" s="13"/>
    </row>
    <row r="1305" spans="4:4" x14ac:dyDescent="0.25">
      <c r="D1305" s="13"/>
    </row>
    <row r="1306" spans="4:4" x14ac:dyDescent="0.25">
      <c r="D1306" s="13"/>
    </row>
    <row r="1307" spans="4:4" x14ac:dyDescent="0.25">
      <c r="D1307" s="13"/>
    </row>
    <row r="1308" spans="4:4" x14ac:dyDescent="0.25">
      <c r="D1308" s="13"/>
    </row>
    <row r="1309" spans="4:4" x14ac:dyDescent="0.25">
      <c r="D1309" s="13"/>
    </row>
    <row r="1310" spans="4:4" x14ac:dyDescent="0.25">
      <c r="D1310" s="13"/>
    </row>
    <row r="1311" spans="4:4" x14ac:dyDescent="0.25">
      <c r="D1311" s="13"/>
    </row>
    <row r="1312" spans="4:4" x14ac:dyDescent="0.25">
      <c r="D1312" s="13"/>
    </row>
    <row r="1313" spans="4:4" x14ac:dyDescent="0.25">
      <c r="D1313" s="13"/>
    </row>
    <row r="1314" spans="4:4" x14ac:dyDescent="0.25">
      <c r="D1314" s="13"/>
    </row>
    <row r="1315" spans="4:4" x14ac:dyDescent="0.25">
      <c r="D1315" s="13"/>
    </row>
    <row r="1316" spans="4:4" x14ac:dyDescent="0.25">
      <c r="D1316" s="13"/>
    </row>
    <row r="1317" spans="4:4" x14ac:dyDescent="0.25">
      <c r="D1317" s="13"/>
    </row>
    <row r="1318" spans="4:4" x14ac:dyDescent="0.25">
      <c r="D1318" s="13"/>
    </row>
    <row r="1319" spans="4:4" x14ac:dyDescent="0.25">
      <c r="D1319" s="13"/>
    </row>
    <row r="1320" spans="4:4" x14ac:dyDescent="0.25">
      <c r="D1320" s="13"/>
    </row>
    <row r="1321" spans="4:4" x14ac:dyDescent="0.25">
      <c r="D1321" s="13"/>
    </row>
    <row r="1322" spans="4:4" x14ac:dyDescent="0.25">
      <c r="D1322" s="13"/>
    </row>
    <row r="1323" spans="4:4" x14ac:dyDescent="0.25">
      <c r="D1323" s="13"/>
    </row>
    <row r="1324" spans="4:4" x14ac:dyDescent="0.25">
      <c r="D1324" s="13"/>
    </row>
    <row r="1325" spans="4:4" x14ac:dyDescent="0.25">
      <c r="D1325" s="13"/>
    </row>
    <row r="1326" spans="4:4" x14ac:dyDescent="0.25">
      <c r="D1326" s="13"/>
    </row>
    <row r="1327" spans="4:4" x14ac:dyDescent="0.25">
      <c r="D1327" s="13"/>
    </row>
    <row r="1328" spans="4:4" x14ac:dyDescent="0.25">
      <c r="D1328" s="13"/>
    </row>
    <row r="1329" spans="4:4" x14ac:dyDescent="0.25">
      <c r="D1329" s="13"/>
    </row>
    <row r="1330" spans="4:4" x14ac:dyDescent="0.25">
      <c r="D1330" s="13"/>
    </row>
    <row r="1331" spans="4:4" x14ac:dyDescent="0.25">
      <c r="D1331" s="13"/>
    </row>
    <row r="1332" spans="4:4" x14ac:dyDescent="0.25">
      <c r="D1332" s="13"/>
    </row>
    <row r="1333" spans="4:4" x14ac:dyDescent="0.25">
      <c r="D1333" s="13"/>
    </row>
    <row r="1334" spans="4:4" x14ac:dyDescent="0.25">
      <c r="D1334" s="13"/>
    </row>
    <row r="1335" spans="4:4" x14ac:dyDescent="0.25">
      <c r="D1335" s="13"/>
    </row>
    <row r="1336" spans="4:4" x14ac:dyDescent="0.25">
      <c r="D1336" s="13"/>
    </row>
    <row r="1337" spans="4:4" x14ac:dyDescent="0.25">
      <c r="D1337" s="13"/>
    </row>
    <row r="1338" spans="4:4" x14ac:dyDescent="0.25">
      <c r="D1338" s="13"/>
    </row>
    <row r="1339" spans="4:4" x14ac:dyDescent="0.25">
      <c r="D1339" s="13"/>
    </row>
    <row r="1340" spans="4:4" x14ac:dyDescent="0.25">
      <c r="D1340" s="13"/>
    </row>
    <row r="1341" spans="4:4" x14ac:dyDescent="0.25">
      <c r="D1341" s="13"/>
    </row>
    <row r="1342" spans="4:4" x14ac:dyDescent="0.25">
      <c r="D1342" s="13"/>
    </row>
    <row r="1343" spans="4:4" x14ac:dyDescent="0.25">
      <c r="D1343" s="13"/>
    </row>
    <row r="1344" spans="4:4" x14ac:dyDescent="0.25">
      <c r="D1344" s="13"/>
    </row>
    <row r="1345" spans="4:4" x14ac:dyDescent="0.25">
      <c r="D1345" s="13"/>
    </row>
    <row r="1346" spans="4:4" x14ac:dyDescent="0.25">
      <c r="D1346" s="13"/>
    </row>
    <row r="1347" spans="4:4" x14ac:dyDescent="0.25">
      <c r="D1347" s="13"/>
    </row>
    <row r="1348" spans="4:4" x14ac:dyDescent="0.25">
      <c r="D1348" s="13"/>
    </row>
    <row r="1349" spans="4:4" x14ac:dyDescent="0.25">
      <c r="D1349" s="13"/>
    </row>
    <row r="1350" spans="4:4" x14ac:dyDescent="0.25">
      <c r="D1350" s="13"/>
    </row>
    <row r="1351" spans="4:4" x14ac:dyDescent="0.25">
      <c r="D1351" s="13"/>
    </row>
    <row r="1352" spans="4:4" x14ac:dyDescent="0.25">
      <c r="D1352" s="13"/>
    </row>
    <row r="1353" spans="4:4" x14ac:dyDescent="0.25">
      <c r="D1353" s="13"/>
    </row>
    <row r="1354" spans="4:4" x14ac:dyDescent="0.25">
      <c r="D1354" s="13"/>
    </row>
    <row r="1355" spans="4:4" x14ac:dyDescent="0.25">
      <c r="D1355" s="13"/>
    </row>
    <row r="1356" spans="4:4" x14ac:dyDescent="0.25">
      <c r="D1356" s="13"/>
    </row>
    <row r="1357" spans="4:4" x14ac:dyDescent="0.25">
      <c r="D1357" s="13"/>
    </row>
    <row r="1358" spans="4:4" x14ac:dyDescent="0.25">
      <c r="D1358" s="13"/>
    </row>
    <row r="1359" spans="4:4" x14ac:dyDescent="0.25">
      <c r="D1359" s="13"/>
    </row>
    <row r="1360" spans="4:4" x14ac:dyDescent="0.25">
      <c r="D1360" s="13"/>
    </row>
    <row r="1361" spans="4:4" x14ac:dyDescent="0.25">
      <c r="D1361" s="13"/>
    </row>
    <row r="1362" spans="4:4" x14ac:dyDescent="0.25">
      <c r="D1362" s="13"/>
    </row>
    <row r="1363" spans="4:4" x14ac:dyDescent="0.25">
      <c r="D1363" s="13"/>
    </row>
    <row r="1364" spans="4:4" x14ac:dyDescent="0.25">
      <c r="D1364" s="13"/>
    </row>
    <row r="1365" spans="4:4" x14ac:dyDescent="0.25">
      <c r="D1365" s="13"/>
    </row>
    <row r="1366" spans="4:4" x14ac:dyDescent="0.25">
      <c r="D1366" s="13"/>
    </row>
    <row r="1367" spans="4:4" x14ac:dyDescent="0.25">
      <c r="D1367" s="13"/>
    </row>
    <row r="1368" spans="4:4" x14ac:dyDescent="0.25">
      <c r="D1368" s="13"/>
    </row>
    <row r="1369" spans="4:4" x14ac:dyDescent="0.25">
      <c r="D1369" s="13"/>
    </row>
    <row r="1370" spans="4:4" x14ac:dyDescent="0.25">
      <c r="D1370" s="13"/>
    </row>
    <row r="1371" spans="4:4" x14ac:dyDescent="0.25">
      <c r="D1371" s="13"/>
    </row>
    <row r="1372" spans="4:4" x14ac:dyDescent="0.25">
      <c r="D1372" s="13"/>
    </row>
    <row r="1373" spans="4:4" x14ac:dyDescent="0.25">
      <c r="D1373" s="13"/>
    </row>
    <row r="1374" spans="4:4" x14ac:dyDescent="0.25">
      <c r="D1374" s="13"/>
    </row>
    <row r="1375" spans="4:4" x14ac:dyDescent="0.25">
      <c r="D1375" s="13"/>
    </row>
    <row r="1376" spans="4:4" x14ac:dyDescent="0.25">
      <c r="D1376" s="13"/>
    </row>
    <row r="1377" spans="4:4" x14ac:dyDescent="0.25">
      <c r="D1377" s="13"/>
    </row>
    <row r="1378" spans="4:4" x14ac:dyDescent="0.25">
      <c r="D1378" s="13"/>
    </row>
    <row r="1379" spans="4:4" x14ac:dyDescent="0.25">
      <c r="D1379" s="13"/>
    </row>
    <row r="1380" spans="4:4" x14ac:dyDescent="0.25">
      <c r="D1380" s="13"/>
    </row>
    <row r="1381" spans="4:4" x14ac:dyDescent="0.25">
      <c r="D1381" s="13"/>
    </row>
    <row r="1382" spans="4:4" x14ac:dyDescent="0.25">
      <c r="D1382" s="13"/>
    </row>
    <row r="1383" spans="4:4" x14ac:dyDescent="0.25">
      <c r="D1383" s="13"/>
    </row>
    <row r="1384" spans="4:4" x14ac:dyDescent="0.25">
      <c r="D1384" s="13"/>
    </row>
    <row r="1385" spans="4:4" x14ac:dyDescent="0.25">
      <c r="D1385" s="13"/>
    </row>
    <row r="1386" spans="4:4" x14ac:dyDescent="0.25">
      <c r="D1386" s="13"/>
    </row>
    <row r="1387" spans="4:4" x14ac:dyDescent="0.25">
      <c r="D1387" s="13"/>
    </row>
    <row r="1388" spans="4:4" x14ac:dyDescent="0.25">
      <c r="D1388" s="13"/>
    </row>
    <row r="1389" spans="4:4" x14ac:dyDescent="0.25">
      <c r="D1389" s="13"/>
    </row>
    <row r="1390" spans="4:4" x14ac:dyDescent="0.25">
      <c r="D1390" s="13"/>
    </row>
    <row r="1391" spans="4:4" x14ac:dyDescent="0.25">
      <c r="D1391" s="13"/>
    </row>
    <row r="1392" spans="4:4" x14ac:dyDescent="0.25">
      <c r="D1392" s="13"/>
    </row>
    <row r="1393" spans="4:4" x14ac:dyDescent="0.25">
      <c r="D1393" s="13"/>
    </row>
    <row r="1394" spans="4:4" x14ac:dyDescent="0.25">
      <c r="D1394" s="13"/>
    </row>
    <row r="1395" spans="4:4" x14ac:dyDescent="0.25">
      <c r="D1395" s="13"/>
    </row>
    <row r="1396" spans="4:4" x14ac:dyDescent="0.25">
      <c r="D1396" s="13"/>
    </row>
    <row r="1397" spans="4:4" x14ac:dyDescent="0.25">
      <c r="D1397" s="13"/>
    </row>
    <row r="1398" spans="4:4" x14ac:dyDescent="0.25">
      <c r="D1398" s="13"/>
    </row>
    <row r="1399" spans="4:4" x14ac:dyDescent="0.25">
      <c r="D1399" s="13"/>
    </row>
    <row r="1400" spans="4:4" x14ac:dyDescent="0.25">
      <c r="D1400" s="13"/>
    </row>
    <row r="1401" spans="4:4" x14ac:dyDescent="0.25">
      <c r="D1401" s="13"/>
    </row>
    <row r="1402" spans="4:4" x14ac:dyDescent="0.25">
      <c r="D1402" s="13"/>
    </row>
    <row r="1403" spans="4:4" x14ac:dyDescent="0.25">
      <c r="D1403" s="13"/>
    </row>
    <row r="1404" spans="4:4" x14ac:dyDescent="0.25">
      <c r="D1404" s="13"/>
    </row>
    <row r="1405" spans="4:4" x14ac:dyDescent="0.25">
      <c r="D1405" s="13"/>
    </row>
    <row r="1406" spans="4:4" x14ac:dyDescent="0.25">
      <c r="D1406" s="13"/>
    </row>
    <row r="1407" spans="4:4" x14ac:dyDescent="0.25">
      <c r="D1407" s="13"/>
    </row>
    <row r="1408" spans="4:4" x14ac:dyDescent="0.25">
      <c r="D1408" s="13"/>
    </row>
    <row r="1409" spans="4:4" x14ac:dyDescent="0.25">
      <c r="D1409" s="13"/>
    </row>
    <row r="1410" spans="4:4" x14ac:dyDescent="0.25">
      <c r="D1410" s="13"/>
    </row>
    <row r="1411" spans="4:4" x14ac:dyDescent="0.25">
      <c r="D1411" s="13"/>
    </row>
    <row r="1412" spans="4:4" x14ac:dyDescent="0.25">
      <c r="D1412" s="13"/>
    </row>
    <row r="1413" spans="4:4" x14ac:dyDescent="0.25">
      <c r="D1413" s="13"/>
    </row>
    <row r="1414" spans="4:4" x14ac:dyDescent="0.25">
      <c r="D1414" s="13"/>
    </row>
    <row r="1415" spans="4:4" x14ac:dyDescent="0.25">
      <c r="D1415" s="13"/>
    </row>
    <row r="1416" spans="4:4" x14ac:dyDescent="0.25">
      <c r="D1416" s="13"/>
    </row>
    <row r="1417" spans="4:4" x14ac:dyDescent="0.25">
      <c r="D1417" s="13"/>
    </row>
    <row r="1418" spans="4:4" x14ac:dyDescent="0.25">
      <c r="D1418" s="13"/>
    </row>
    <row r="1419" spans="4:4" x14ac:dyDescent="0.25">
      <c r="D1419" s="13"/>
    </row>
    <row r="1420" spans="4:4" x14ac:dyDescent="0.25">
      <c r="D1420" s="13"/>
    </row>
    <row r="1421" spans="4:4" x14ac:dyDescent="0.25">
      <c r="D1421" s="13"/>
    </row>
    <row r="1422" spans="4:4" x14ac:dyDescent="0.25">
      <c r="D1422" s="13"/>
    </row>
    <row r="1423" spans="4:4" x14ac:dyDescent="0.25">
      <c r="D1423" s="13"/>
    </row>
    <row r="1424" spans="4:4" x14ac:dyDescent="0.25">
      <c r="D1424" s="13"/>
    </row>
    <row r="1425" spans="4:4" x14ac:dyDescent="0.25">
      <c r="D1425" s="13"/>
    </row>
    <row r="1426" spans="4:4" x14ac:dyDescent="0.25">
      <c r="D1426" s="13"/>
    </row>
    <row r="1427" spans="4:4" x14ac:dyDescent="0.25">
      <c r="D1427" s="13"/>
    </row>
    <row r="1428" spans="4:4" x14ac:dyDescent="0.25">
      <c r="D1428" s="13"/>
    </row>
    <row r="1429" spans="4:4" x14ac:dyDescent="0.25">
      <c r="D1429" s="13"/>
    </row>
    <row r="1430" spans="4:4" x14ac:dyDescent="0.25">
      <c r="D1430" s="13"/>
    </row>
    <row r="1431" spans="4:4" x14ac:dyDescent="0.25">
      <c r="D1431" s="13"/>
    </row>
    <row r="1432" spans="4:4" x14ac:dyDescent="0.25">
      <c r="D1432" s="13"/>
    </row>
    <row r="1433" spans="4:4" x14ac:dyDescent="0.25">
      <c r="D1433" s="13"/>
    </row>
    <row r="1434" spans="4:4" x14ac:dyDescent="0.25">
      <c r="D1434" s="13"/>
    </row>
    <row r="1435" spans="4:4" x14ac:dyDescent="0.25">
      <c r="D1435" s="13"/>
    </row>
    <row r="1436" spans="4:4" x14ac:dyDescent="0.25">
      <c r="D1436" s="13"/>
    </row>
    <row r="1437" spans="4:4" x14ac:dyDescent="0.25">
      <c r="D1437" s="13"/>
    </row>
    <row r="1438" spans="4:4" x14ac:dyDescent="0.25">
      <c r="D1438" s="13"/>
    </row>
    <row r="1439" spans="4:4" x14ac:dyDescent="0.25">
      <c r="D1439" s="13"/>
    </row>
    <row r="1440" spans="4:4" x14ac:dyDescent="0.25">
      <c r="D1440" s="13"/>
    </row>
    <row r="1441" spans="4:4" x14ac:dyDescent="0.25">
      <c r="D1441" s="13"/>
    </row>
    <row r="1442" spans="4:4" x14ac:dyDescent="0.25">
      <c r="D1442" s="13"/>
    </row>
    <row r="1443" spans="4:4" x14ac:dyDescent="0.25">
      <c r="D1443" s="13"/>
    </row>
    <row r="1444" spans="4:4" x14ac:dyDescent="0.25">
      <c r="D1444" s="13"/>
    </row>
    <row r="1445" spans="4:4" x14ac:dyDescent="0.25">
      <c r="D1445" s="13"/>
    </row>
    <row r="1446" spans="4:4" x14ac:dyDescent="0.25">
      <c r="D1446" s="13"/>
    </row>
    <row r="1447" spans="4:4" x14ac:dyDescent="0.25">
      <c r="D1447" s="13"/>
    </row>
    <row r="1448" spans="4:4" x14ac:dyDescent="0.25">
      <c r="D1448" s="13"/>
    </row>
    <row r="1449" spans="4:4" x14ac:dyDescent="0.25">
      <c r="D1449" s="13"/>
    </row>
    <row r="1450" spans="4:4" x14ac:dyDescent="0.25">
      <c r="D1450" s="13"/>
    </row>
    <row r="1451" spans="4:4" x14ac:dyDescent="0.25">
      <c r="D1451" s="13"/>
    </row>
    <row r="1452" spans="4:4" x14ac:dyDescent="0.25">
      <c r="D1452" s="13"/>
    </row>
    <row r="1453" spans="4:4" x14ac:dyDescent="0.25">
      <c r="D1453" s="13"/>
    </row>
    <row r="1454" spans="4:4" x14ac:dyDescent="0.25">
      <c r="D1454" s="13"/>
    </row>
    <row r="1455" spans="4:4" x14ac:dyDescent="0.25">
      <c r="D1455" s="13"/>
    </row>
    <row r="1456" spans="4:4" x14ac:dyDescent="0.25">
      <c r="D1456" s="13"/>
    </row>
    <row r="1457" spans="4:4" x14ac:dyDescent="0.25">
      <c r="D1457" s="13"/>
    </row>
    <row r="1458" spans="4:4" x14ac:dyDescent="0.25">
      <c r="D1458" s="13"/>
    </row>
    <row r="1459" spans="4:4" x14ac:dyDescent="0.25">
      <c r="D1459" s="13"/>
    </row>
    <row r="1460" spans="4:4" x14ac:dyDescent="0.25">
      <c r="D1460" s="13"/>
    </row>
    <row r="1461" spans="4:4" x14ac:dyDescent="0.25">
      <c r="D1461" s="13"/>
    </row>
    <row r="1462" spans="4:4" x14ac:dyDescent="0.25">
      <c r="D1462" s="13"/>
    </row>
    <row r="1463" spans="4:4" x14ac:dyDescent="0.25">
      <c r="D1463" s="13"/>
    </row>
    <row r="1464" spans="4:4" x14ac:dyDescent="0.25">
      <c r="D1464" s="13"/>
    </row>
    <row r="1465" spans="4:4" x14ac:dyDescent="0.25">
      <c r="D1465" s="13"/>
    </row>
    <row r="1466" spans="4:4" x14ac:dyDescent="0.25">
      <c r="D1466" s="13"/>
    </row>
    <row r="1467" spans="4:4" x14ac:dyDescent="0.25">
      <c r="D1467" s="13"/>
    </row>
    <row r="1468" spans="4:4" x14ac:dyDescent="0.25">
      <c r="D1468" s="13"/>
    </row>
    <row r="1469" spans="4:4" x14ac:dyDescent="0.25">
      <c r="D1469" s="13"/>
    </row>
    <row r="1470" spans="4:4" x14ac:dyDescent="0.25">
      <c r="D1470" s="13"/>
    </row>
    <row r="1471" spans="4:4" x14ac:dyDescent="0.25">
      <c r="D1471" s="13"/>
    </row>
    <row r="1472" spans="4:4" x14ac:dyDescent="0.25">
      <c r="D1472" s="13"/>
    </row>
    <row r="1473" spans="4:4" x14ac:dyDescent="0.25">
      <c r="D1473" s="13"/>
    </row>
    <row r="1474" spans="4:4" x14ac:dyDescent="0.25">
      <c r="D1474" s="13"/>
    </row>
    <row r="1475" spans="4:4" x14ac:dyDescent="0.25">
      <c r="D1475" s="13"/>
    </row>
    <row r="1476" spans="4:4" x14ac:dyDescent="0.25">
      <c r="D1476" s="13"/>
    </row>
    <row r="1477" spans="4:4" x14ac:dyDescent="0.25">
      <c r="D1477" s="13"/>
    </row>
    <row r="1478" spans="4:4" x14ac:dyDescent="0.25">
      <c r="D1478" s="13"/>
    </row>
    <row r="1479" spans="4:4" x14ac:dyDescent="0.25">
      <c r="D1479" s="13"/>
    </row>
    <row r="1480" spans="4:4" x14ac:dyDescent="0.25">
      <c r="D1480" s="13"/>
    </row>
    <row r="1481" spans="4:4" x14ac:dyDescent="0.25">
      <c r="D1481" s="13"/>
    </row>
    <row r="1482" spans="4:4" x14ac:dyDescent="0.25">
      <c r="D1482" s="13"/>
    </row>
    <row r="1483" spans="4:4" x14ac:dyDescent="0.25">
      <c r="D1483" s="13"/>
    </row>
    <row r="1484" spans="4:4" x14ac:dyDescent="0.25">
      <c r="D1484" s="13"/>
    </row>
    <row r="1485" spans="4:4" x14ac:dyDescent="0.25">
      <c r="D1485" s="13"/>
    </row>
    <row r="1486" spans="4:4" x14ac:dyDescent="0.25">
      <c r="D1486" s="13"/>
    </row>
    <row r="1487" spans="4:4" x14ac:dyDescent="0.25">
      <c r="D1487" s="13"/>
    </row>
    <row r="1488" spans="4:4" x14ac:dyDescent="0.25">
      <c r="D1488" s="13"/>
    </row>
    <row r="1489" spans="4:4" x14ac:dyDescent="0.25">
      <c r="D1489" s="13"/>
    </row>
    <row r="1490" spans="4:4" x14ac:dyDescent="0.25">
      <c r="D1490" s="13"/>
    </row>
    <row r="1491" spans="4:4" x14ac:dyDescent="0.25">
      <c r="D1491" s="13"/>
    </row>
    <row r="1492" spans="4:4" x14ac:dyDescent="0.25">
      <c r="D1492" s="13"/>
    </row>
    <row r="1493" spans="4:4" x14ac:dyDescent="0.25">
      <c r="D1493" s="13"/>
    </row>
    <row r="1494" spans="4:4" x14ac:dyDescent="0.25">
      <c r="D1494" s="13"/>
    </row>
    <row r="1495" spans="4:4" x14ac:dyDescent="0.25">
      <c r="D1495" s="13"/>
    </row>
    <row r="1496" spans="4:4" x14ac:dyDescent="0.25">
      <c r="D1496" s="13"/>
    </row>
    <row r="1497" spans="4:4" x14ac:dyDescent="0.25">
      <c r="D1497" s="13"/>
    </row>
    <row r="1498" spans="4:4" x14ac:dyDescent="0.25">
      <c r="D1498" s="13"/>
    </row>
    <row r="1499" spans="4:4" x14ac:dyDescent="0.25">
      <c r="D1499" s="13"/>
    </row>
    <row r="1500" spans="4:4" x14ac:dyDescent="0.25">
      <c r="D1500" s="13"/>
    </row>
    <row r="1501" spans="4:4" x14ac:dyDescent="0.25">
      <c r="D1501" s="13"/>
    </row>
    <row r="1502" spans="4:4" x14ac:dyDescent="0.25">
      <c r="D1502" s="13"/>
    </row>
    <row r="1503" spans="4:4" x14ac:dyDescent="0.25">
      <c r="D1503" s="13"/>
    </row>
    <row r="1504" spans="4:4" x14ac:dyDescent="0.25">
      <c r="D1504" s="13"/>
    </row>
    <row r="1505" spans="4:4" x14ac:dyDescent="0.25">
      <c r="D1505" s="13"/>
    </row>
    <row r="1506" spans="4:4" x14ac:dyDescent="0.25">
      <c r="D1506" s="13"/>
    </row>
    <row r="1507" spans="4:4" x14ac:dyDescent="0.25">
      <c r="D1507" s="13"/>
    </row>
    <row r="1508" spans="4:4" x14ac:dyDescent="0.25">
      <c r="D1508" s="13"/>
    </row>
    <row r="1509" spans="4:4" x14ac:dyDescent="0.25">
      <c r="D1509" s="13"/>
    </row>
    <row r="1510" spans="4:4" x14ac:dyDescent="0.25">
      <c r="D1510" s="13"/>
    </row>
    <row r="1511" spans="4:4" x14ac:dyDescent="0.25">
      <c r="D1511" s="13"/>
    </row>
    <row r="1512" spans="4:4" x14ac:dyDescent="0.25">
      <c r="D1512" s="13"/>
    </row>
    <row r="1513" spans="4:4" x14ac:dyDescent="0.25">
      <c r="D1513" s="13"/>
    </row>
    <row r="1514" spans="4:4" x14ac:dyDescent="0.25">
      <c r="D1514" s="13"/>
    </row>
    <row r="1515" spans="4:4" x14ac:dyDescent="0.25">
      <c r="D1515" s="13"/>
    </row>
    <row r="1516" spans="4:4" x14ac:dyDescent="0.25">
      <c r="D1516" s="13"/>
    </row>
    <row r="1517" spans="4:4" x14ac:dyDescent="0.25">
      <c r="D1517" s="13"/>
    </row>
    <row r="1518" spans="4:4" x14ac:dyDescent="0.25">
      <c r="D1518" s="13"/>
    </row>
    <row r="1519" spans="4:4" x14ac:dyDescent="0.25">
      <c r="D1519" s="13"/>
    </row>
    <row r="1520" spans="4:4" x14ac:dyDescent="0.25">
      <c r="D1520" s="13"/>
    </row>
    <row r="1521" spans="4:4" x14ac:dyDescent="0.25">
      <c r="D1521" s="13"/>
    </row>
    <row r="1522" spans="4:4" x14ac:dyDescent="0.25">
      <c r="D1522" s="13"/>
    </row>
    <row r="1523" spans="4:4" x14ac:dyDescent="0.25">
      <c r="D1523" s="13"/>
    </row>
    <row r="1524" spans="4:4" x14ac:dyDescent="0.25">
      <c r="D1524" s="13"/>
    </row>
    <row r="1525" spans="4:4" x14ac:dyDescent="0.25">
      <c r="D1525" s="13"/>
    </row>
    <row r="1526" spans="4:4" x14ac:dyDescent="0.25">
      <c r="D1526" s="13"/>
    </row>
    <row r="1527" spans="4:4" x14ac:dyDescent="0.25">
      <c r="D1527" s="13"/>
    </row>
    <row r="1528" spans="4:4" x14ac:dyDescent="0.25">
      <c r="D1528" s="13"/>
    </row>
    <row r="1529" spans="4:4" x14ac:dyDescent="0.25">
      <c r="D1529" s="13"/>
    </row>
    <row r="1530" spans="4:4" x14ac:dyDescent="0.25">
      <c r="D1530" s="13"/>
    </row>
    <row r="1531" spans="4:4" x14ac:dyDescent="0.25">
      <c r="D1531" s="13"/>
    </row>
    <row r="1532" spans="4:4" x14ac:dyDescent="0.25">
      <c r="D1532" s="13"/>
    </row>
    <row r="1533" spans="4:4" x14ac:dyDescent="0.25">
      <c r="D1533" s="13"/>
    </row>
    <row r="1534" spans="4:4" x14ac:dyDescent="0.25">
      <c r="D1534" s="13"/>
    </row>
    <row r="1535" spans="4:4" x14ac:dyDescent="0.25">
      <c r="D1535" s="13"/>
    </row>
    <row r="1536" spans="4:4" x14ac:dyDescent="0.25">
      <c r="D1536" s="13"/>
    </row>
    <row r="1537" spans="4:4" x14ac:dyDescent="0.25">
      <c r="D1537" s="13"/>
    </row>
    <row r="1538" spans="4:4" x14ac:dyDescent="0.25">
      <c r="D1538" s="13"/>
    </row>
    <row r="1539" spans="4:4" x14ac:dyDescent="0.25">
      <c r="D1539" s="13"/>
    </row>
    <row r="1540" spans="4:4" x14ac:dyDescent="0.25">
      <c r="D1540" s="13"/>
    </row>
    <row r="1541" spans="4:4" x14ac:dyDescent="0.25">
      <c r="D1541" s="13"/>
    </row>
    <row r="1542" spans="4:4" x14ac:dyDescent="0.25">
      <c r="D1542" s="13"/>
    </row>
    <row r="1543" spans="4:4" x14ac:dyDescent="0.25">
      <c r="D1543" s="13"/>
    </row>
    <row r="1544" spans="4:4" x14ac:dyDescent="0.25">
      <c r="D1544" s="13"/>
    </row>
    <row r="1545" spans="4:4" x14ac:dyDescent="0.25">
      <c r="D1545" s="13"/>
    </row>
    <row r="1546" spans="4:4" x14ac:dyDescent="0.25">
      <c r="D1546" s="13"/>
    </row>
    <row r="1547" spans="4:4" x14ac:dyDescent="0.25">
      <c r="D1547" s="13"/>
    </row>
    <row r="1548" spans="4:4" x14ac:dyDescent="0.25">
      <c r="D1548" s="13"/>
    </row>
    <row r="1549" spans="4:4" x14ac:dyDescent="0.25">
      <c r="D1549" s="13"/>
    </row>
    <row r="1550" spans="4:4" x14ac:dyDescent="0.25">
      <c r="D1550" s="13"/>
    </row>
    <row r="1551" spans="4:4" x14ac:dyDescent="0.25">
      <c r="D1551" s="13"/>
    </row>
    <row r="1552" spans="4:4" x14ac:dyDescent="0.25">
      <c r="D1552" s="13"/>
    </row>
    <row r="1553" spans="4:4" x14ac:dyDescent="0.25">
      <c r="D1553" s="13"/>
    </row>
    <row r="1554" spans="4:4" x14ac:dyDescent="0.25">
      <c r="D1554" s="13"/>
    </row>
    <row r="1555" spans="4:4" x14ac:dyDescent="0.25">
      <c r="D1555" s="13"/>
    </row>
    <row r="1556" spans="4:4" x14ac:dyDescent="0.25">
      <c r="D1556" s="13"/>
    </row>
    <row r="1557" spans="4:4" x14ac:dyDescent="0.25">
      <c r="D1557" s="13"/>
    </row>
    <row r="1558" spans="4:4" x14ac:dyDescent="0.25">
      <c r="D1558" s="13"/>
    </row>
    <row r="1559" spans="4:4" x14ac:dyDescent="0.25">
      <c r="D1559" s="13"/>
    </row>
    <row r="1560" spans="4:4" x14ac:dyDescent="0.25">
      <c r="D1560" s="13"/>
    </row>
    <row r="1561" spans="4:4" x14ac:dyDescent="0.25">
      <c r="D1561" s="13"/>
    </row>
    <row r="1562" spans="4:4" x14ac:dyDescent="0.25">
      <c r="D1562" s="13"/>
    </row>
    <row r="1563" spans="4:4" x14ac:dyDescent="0.25">
      <c r="D1563" s="13"/>
    </row>
    <row r="1564" spans="4:4" x14ac:dyDescent="0.25">
      <c r="D1564" s="13"/>
    </row>
    <row r="1565" spans="4:4" x14ac:dyDescent="0.25">
      <c r="D1565" s="13"/>
    </row>
    <row r="1566" spans="4:4" x14ac:dyDescent="0.25">
      <c r="D1566" s="13"/>
    </row>
    <row r="1567" spans="4:4" x14ac:dyDescent="0.25">
      <c r="D1567" s="13"/>
    </row>
    <row r="1568" spans="4:4" x14ac:dyDescent="0.25">
      <c r="D1568" s="13"/>
    </row>
    <row r="1569" spans="4:4" x14ac:dyDescent="0.25">
      <c r="D1569" s="13"/>
    </row>
    <row r="1570" spans="4:4" x14ac:dyDescent="0.25">
      <c r="D1570" s="13"/>
    </row>
    <row r="1571" spans="4:4" x14ac:dyDescent="0.25">
      <c r="D1571" s="13"/>
    </row>
    <row r="1572" spans="4:4" x14ac:dyDescent="0.25">
      <c r="D1572" s="13"/>
    </row>
    <row r="1573" spans="4:4" x14ac:dyDescent="0.25">
      <c r="D1573" s="13"/>
    </row>
    <row r="1574" spans="4:4" x14ac:dyDescent="0.25">
      <c r="D1574" s="13"/>
    </row>
    <row r="1575" spans="4:4" x14ac:dyDescent="0.25">
      <c r="D1575" s="13"/>
    </row>
    <row r="1576" spans="4:4" x14ac:dyDescent="0.25">
      <c r="D1576" s="13"/>
    </row>
    <row r="1577" spans="4:4" x14ac:dyDescent="0.25">
      <c r="D1577" s="13"/>
    </row>
    <row r="1578" spans="4:4" x14ac:dyDescent="0.25">
      <c r="D1578" s="13"/>
    </row>
    <row r="1579" spans="4:4" x14ac:dyDescent="0.25">
      <c r="D1579" s="13"/>
    </row>
    <row r="1580" spans="4:4" x14ac:dyDescent="0.25">
      <c r="D1580" s="13"/>
    </row>
    <row r="1581" spans="4:4" x14ac:dyDescent="0.25">
      <c r="D1581" s="13"/>
    </row>
    <row r="1582" spans="4:4" x14ac:dyDescent="0.25">
      <c r="D1582" s="13"/>
    </row>
    <row r="1583" spans="4:4" x14ac:dyDescent="0.25">
      <c r="D1583" s="13"/>
    </row>
    <row r="1584" spans="4:4" x14ac:dyDescent="0.25">
      <c r="D1584" s="13"/>
    </row>
    <row r="1585" spans="4:4" x14ac:dyDescent="0.25">
      <c r="D1585" s="13"/>
    </row>
    <row r="1586" spans="4:4" x14ac:dyDescent="0.25">
      <c r="D1586" s="13"/>
    </row>
    <row r="1587" spans="4:4" x14ac:dyDescent="0.25">
      <c r="D1587" s="13"/>
    </row>
    <row r="1588" spans="4:4" x14ac:dyDescent="0.25">
      <c r="D1588" s="13"/>
    </row>
    <row r="1589" spans="4:4" x14ac:dyDescent="0.25">
      <c r="D1589" s="13"/>
    </row>
    <row r="1590" spans="4:4" x14ac:dyDescent="0.25">
      <c r="D1590" s="13"/>
    </row>
    <row r="1591" spans="4:4" x14ac:dyDescent="0.25">
      <c r="D1591" s="13"/>
    </row>
    <row r="1592" spans="4:4" x14ac:dyDescent="0.25">
      <c r="D1592" s="13"/>
    </row>
    <row r="1593" spans="4:4" x14ac:dyDescent="0.25">
      <c r="D1593" s="13"/>
    </row>
    <row r="1594" spans="4:4" x14ac:dyDescent="0.25">
      <c r="D1594" s="13"/>
    </row>
    <row r="1595" spans="4:4" x14ac:dyDescent="0.25">
      <c r="D1595" s="13"/>
    </row>
    <row r="1596" spans="4:4" x14ac:dyDescent="0.25">
      <c r="D1596" s="13"/>
    </row>
    <row r="1597" spans="4:4" x14ac:dyDescent="0.25">
      <c r="D1597" s="13"/>
    </row>
    <row r="1598" spans="4:4" x14ac:dyDescent="0.25">
      <c r="D1598" s="13"/>
    </row>
    <row r="1599" spans="4:4" x14ac:dyDescent="0.25">
      <c r="D1599" s="13"/>
    </row>
    <row r="1600" spans="4:4" x14ac:dyDescent="0.25">
      <c r="D1600" s="13"/>
    </row>
    <row r="1601" spans="4:4" x14ac:dyDescent="0.25">
      <c r="D1601" s="13"/>
    </row>
    <row r="1602" spans="4:4" x14ac:dyDescent="0.25">
      <c r="D1602" s="13"/>
    </row>
    <row r="1603" spans="4:4" x14ac:dyDescent="0.25">
      <c r="D1603" s="13"/>
    </row>
    <row r="1604" spans="4:4" x14ac:dyDescent="0.25">
      <c r="D1604" s="13"/>
    </row>
    <row r="1605" spans="4:4" x14ac:dyDescent="0.25">
      <c r="D1605" s="13"/>
    </row>
    <row r="1606" spans="4:4" x14ac:dyDescent="0.25">
      <c r="D1606" s="13"/>
    </row>
    <row r="1607" spans="4:4" x14ac:dyDescent="0.25">
      <c r="D1607" s="13"/>
    </row>
    <row r="1608" spans="4:4" x14ac:dyDescent="0.25">
      <c r="D1608" s="13"/>
    </row>
    <row r="1609" spans="4:4" x14ac:dyDescent="0.25">
      <c r="D1609" s="13"/>
    </row>
    <row r="1610" spans="4:4" x14ac:dyDescent="0.25">
      <c r="D1610" s="13"/>
    </row>
    <row r="1611" spans="4:4" x14ac:dyDescent="0.25">
      <c r="D1611" s="13"/>
    </row>
    <row r="1612" spans="4:4" x14ac:dyDescent="0.25">
      <c r="D1612" s="13"/>
    </row>
    <row r="1613" spans="4:4" x14ac:dyDescent="0.25">
      <c r="D1613" s="13"/>
    </row>
    <row r="1614" spans="4:4" x14ac:dyDescent="0.25">
      <c r="D1614" s="13"/>
    </row>
    <row r="1615" spans="4:4" x14ac:dyDescent="0.25">
      <c r="D1615" s="13"/>
    </row>
    <row r="1616" spans="4:4" x14ac:dyDescent="0.25">
      <c r="D1616" s="13"/>
    </row>
    <row r="1617" spans="4:4" x14ac:dyDescent="0.25">
      <c r="D1617" s="13"/>
    </row>
    <row r="1618" spans="4:4" x14ac:dyDescent="0.25">
      <c r="D1618" s="13"/>
    </row>
    <row r="1619" spans="4:4" x14ac:dyDescent="0.25">
      <c r="D1619" s="13"/>
    </row>
    <row r="1620" spans="4:4" x14ac:dyDescent="0.25">
      <c r="D1620" s="13"/>
    </row>
    <row r="1621" spans="4:4" x14ac:dyDescent="0.25">
      <c r="D1621" s="13"/>
    </row>
    <row r="1622" spans="4:4" x14ac:dyDescent="0.25">
      <c r="D1622" s="13"/>
    </row>
    <row r="1623" spans="4:4" x14ac:dyDescent="0.25">
      <c r="D1623" s="13"/>
    </row>
    <row r="1624" spans="4:4" x14ac:dyDescent="0.25">
      <c r="D1624" s="13"/>
    </row>
    <row r="1625" spans="4:4" x14ac:dyDescent="0.25">
      <c r="D1625" s="13"/>
    </row>
    <row r="1626" spans="4:4" x14ac:dyDescent="0.25">
      <c r="D1626" s="13"/>
    </row>
    <row r="1627" spans="4:4" x14ac:dyDescent="0.25">
      <c r="D1627" s="13"/>
    </row>
    <row r="1628" spans="4:4" x14ac:dyDescent="0.25">
      <c r="D1628" s="13"/>
    </row>
    <row r="1629" spans="4:4" x14ac:dyDescent="0.25">
      <c r="D1629" s="13"/>
    </row>
    <row r="1630" spans="4:4" x14ac:dyDescent="0.25">
      <c r="D1630" s="13"/>
    </row>
    <row r="1631" spans="4:4" x14ac:dyDescent="0.25">
      <c r="D1631" s="13"/>
    </row>
    <row r="1632" spans="4:4" x14ac:dyDescent="0.25">
      <c r="D1632" s="13"/>
    </row>
    <row r="1633" spans="4:4" x14ac:dyDescent="0.25">
      <c r="D1633" s="13"/>
    </row>
    <row r="1634" spans="4:4" x14ac:dyDescent="0.25">
      <c r="D1634" s="13"/>
    </row>
    <row r="1635" spans="4:4" x14ac:dyDescent="0.25">
      <c r="D1635" s="13"/>
    </row>
    <row r="1636" spans="4:4" x14ac:dyDescent="0.25">
      <c r="D1636" s="13"/>
    </row>
    <row r="1637" spans="4:4" x14ac:dyDescent="0.25">
      <c r="D1637" s="13"/>
    </row>
    <row r="1638" spans="4:4" x14ac:dyDescent="0.25">
      <c r="D1638" s="13"/>
    </row>
    <row r="1639" spans="4:4" x14ac:dyDescent="0.25">
      <c r="D1639" s="13"/>
    </row>
    <row r="1640" spans="4:4" x14ac:dyDescent="0.25">
      <c r="D1640" s="13"/>
    </row>
    <row r="1641" spans="4:4" x14ac:dyDescent="0.25">
      <c r="D1641" s="13"/>
    </row>
    <row r="1642" spans="4:4" x14ac:dyDescent="0.25">
      <c r="D1642" s="13"/>
    </row>
    <row r="1643" spans="4:4" x14ac:dyDescent="0.25">
      <c r="D1643" s="13"/>
    </row>
    <row r="1644" spans="4:4" x14ac:dyDescent="0.25">
      <c r="D1644" s="13"/>
    </row>
    <row r="1645" spans="4:4" x14ac:dyDescent="0.25">
      <c r="D1645" s="13"/>
    </row>
    <row r="1646" spans="4:4" x14ac:dyDescent="0.25">
      <c r="D1646" s="13"/>
    </row>
    <row r="1647" spans="4:4" x14ac:dyDescent="0.25">
      <c r="D1647" s="13"/>
    </row>
    <row r="1648" spans="4:4" x14ac:dyDescent="0.25">
      <c r="D1648" s="13"/>
    </row>
    <row r="1649" spans="4:4" x14ac:dyDescent="0.25">
      <c r="D1649" s="13"/>
    </row>
    <row r="1650" spans="4:4" x14ac:dyDescent="0.25">
      <c r="D1650" s="13"/>
    </row>
    <row r="1651" spans="4:4" x14ac:dyDescent="0.25">
      <c r="D1651" s="13"/>
    </row>
    <row r="1652" spans="4:4" x14ac:dyDescent="0.25">
      <c r="D1652" s="13"/>
    </row>
    <row r="1653" spans="4:4" x14ac:dyDescent="0.25">
      <c r="D1653" s="13"/>
    </row>
    <row r="1654" spans="4:4" x14ac:dyDescent="0.25">
      <c r="D1654" s="13"/>
    </row>
    <row r="1655" spans="4:4" x14ac:dyDescent="0.25">
      <c r="D1655" s="13"/>
    </row>
    <row r="1656" spans="4:4" x14ac:dyDescent="0.25">
      <c r="D1656" s="13"/>
    </row>
    <row r="1657" spans="4:4" x14ac:dyDescent="0.25">
      <c r="D1657" s="13"/>
    </row>
    <row r="1658" spans="4:4" x14ac:dyDescent="0.25">
      <c r="D1658" s="13"/>
    </row>
    <row r="1659" spans="4:4" x14ac:dyDescent="0.25">
      <c r="D1659" s="13"/>
    </row>
    <row r="1660" spans="4:4" x14ac:dyDescent="0.25">
      <c r="D1660" s="13"/>
    </row>
    <row r="1661" spans="4:4" x14ac:dyDescent="0.25">
      <c r="D1661" s="13"/>
    </row>
    <row r="1662" spans="4:4" x14ac:dyDescent="0.25">
      <c r="D1662" s="13"/>
    </row>
    <row r="1663" spans="4:4" x14ac:dyDescent="0.25">
      <c r="D1663" s="13"/>
    </row>
    <row r="1664" spans="4:4" x14ac:dyDescent="0.25">
      <c r="D1664" s="13"/>
    </row>
    <row r="1665" spans="4:4" x14ac:dyDescent="0.25">
      <c r="D1665" s="13"/>
    </row>
    <row r="1666" spans="4:4" x14ac:dyDescent="0.25">
      <c r="D1666" s="13"/>
    </row>
    <row r="1667" spans="4:4" x14ac:dyDescent="0.25">
      <c r="D1667" s="13"/>
    </row>
  </sheetData>
  <sortState xmlns:xlrd2="http://schemas.microsoft.com/office/spreadsheetml/2017/richdata2" ref="A30:AB37">
    <sortCondition ref="A30:A37"/>
  </sortState>
  <mergeCells count="6">
    <mergeCell ref="A5:C5"/>
    <mergeCell ref="A7:C7"/>
    <mergeCell ref="A29:C29"/>
    <mergeCell ref="A1:C2"/>
    <mergeCell ref="S3:T3"/>
    <mergeCell ref="F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327"/>
  <sheetViews>
    <sheetView zoomScaleNormal="100" workbookViewId="0">
      <pane xSplit="4" ySplit="4" topLeftCell="E5" activePane="bottomRight" state="frozen"/>
      <selection pane="topRight" activeCell="E1" sqref="E1"/>
      <selection pane="bottomLeft" activeCell="A3" sqref="A3"/>
      <selection pane="bottomRight" activeCell="H13" sqref="H13"/>
    </sheetView>
  </sheetViews>
  <sheetFormatPr defaultRowHeight="15" x14ac:dyDescent="0.25"/>
  <cols>
    <col min="1" max="1" width="19.140625" style="11" bestFit="1" customWidth="1"/>
    <col min="2" max="2" width="27.5703125" style="87" bestFit="1" customWidth="1"/>
    <col min="3" max="3" width="8.140625" style="3" bestFit="1" customWidth="1"/>
    <col min="4" max="4" width="11.42578125" style="7" customWidth="1"/>
    <col min="5" max="7" width="12.42578125" style="160" customWidth="1"/>
    <col min="8" max="8" width="10.85546875" style="13" customWidth="1"/>
    <col min="9" max="9" width="3.5703125" style="13" customWidth="1"/>
    <col min="10" max="10" width="13.140625" style="13" customWidth="1"/>
    <col min="11" max="15" width="10.85546875" style="13" customWidth="1"/>
    <col min="16" max="17" width="9.140625" style="3"/>
    <col min="18" max="18" width="3.5703125" style="13" customWidth="1"/>
    <col min="19" max="19" width="8.85546875" style="13" customWidth="1"/>
    <col min="20" max="24" width="11.140625" style="13" customWidth="1"/>
    <col min="25" max="25" width="8.85546875" style="13" customWidth="1"/>
    <col min="26" max="26" width="10.85546875" style="3" customWidth="1"/>
    <col min="27" max="16384" width="9.140625" style="3"/>
  </cols>
  <sheetData>
    <row r="1" spans="1:47" ht="15" customHeight="1" x14ac:dyDescent="0.5">
      <c r="A1" s="192" t="s">
        <v>11</v>
      </c>
      <c r="B1" s="193"/>
      <c r="C1" s="193"/>
      <c r="D1" s="55"/>
      <c r="E1" s="106"/>
      <c r="F1" s="106"/>
      <c r="G1" s="106"/>
      <c r="H1" s="56"/>
      <c r="I1" s="56"/>
      <c r="J1" s="56"/>
      <c r="K1" s="56"/>
      <c r="L1" s="56"/>
      <c r="M1" s="56"/>
      <c r="N1" s="56"/>
      <c r="O1" s="56"/>
      <c r="R1" s="56"/>
      <c r="S1" s="55"/>
      <c r="T1" s="55"/>
      <c r="U1" s="55"/>
      <c r="V1" s="55"/>
      <c r="W1" s="55"/>
      <c r="X1" s="55"/>
      <c r="Y1" s="55"/>
    </row>
    <row r="2" spans="1:47" ht="15" customHeight="1" x14ac:dyDescent="0.5">
      <c r="A2" s="194"/>
      <c r="B2" s="195"/>
      <c r="C2" s="195"/>
      <c r="D2" s="55"/>
      <c r="E2" s="106"/>
      <c r="F2" s="106"/>
      <c r="G2" s="106"/>
      <c r="H2" s="56"/>
      <c r="I2" s="56"/>
      <c r="J2" s="56"/>
      <c r="K2" s="56"/>
      <c r="L2" s="56"/>
      <c r="M2" s="56"/>
      <c r="N2" s="56"/>
      <c r="O2" s="56"/>
      <c r="R2" s="56"/>
      <c r="S2" s="55"/>
      <c r="T2" s="55"/>
      <c r="U2" s="55"/>
      <c r="V2" s="55"/>
      <c r="W2" s="55"/>
      <c r="X2" s="55"/>
      <c r="Y2" s="55"/>
    </row>
    <row r="3" spans="1:47" s="6" customFormat="1" x14ac:dyDescent="0.25">
      <c r="A3" s="9"/>
      <c r="B3" s="82"/>
      <c r="D3" s="8"/>
      <c r="E3" s="180"/>
      <c r="F3" s="219">
        <v>2024</v>
      </c>
      <c r="G3" s="220"/>
      <c r="H3" s="8"/>
      <c r="I3" s="8"/>
      <c r="J3" s="218">
        <v>2023</v>
      </c>
      <c r="K3" s="219"/>
      <c r="L3" s="219"/>
      <c r="M3" s="219"/>
      <c r="N3" s="220"/>
      <c r="O3" s="8"/>
      <c r="R3" s="8"/>
      <c r="S3" s="202">
        <v>2022</v>
      </c>
      <c r="T3" s="203"/>
      <c r="U3" s="203"/>
      <c r="V3" s="203"/>
      <c r="W3" s="203"/>
      <c r="X3" s="203"/>
      <c r="Y3" s="204"/>
    </row>
    <row r="4" spans="1:47" s="5" customFormat="1" ht="60" x14ac:dyDescent="0.25">
      <c r="A4" s="5" t="s">
        <v>1</v>
      </c>
      <c r="B4" s="82" t="s">
        <v>2</v>
      </c>
      <c r="C4" s="5" t="s">
        <v>3</v>
      </c>
      <c r="D4" s="49" t="s">
        <v>886</v>
      </c>
      <c r="E4" s="163" t="s">
        <v>885</v>
      </c>
      <c r="F4" s="163" t="s">
        <v>293</v>
      </c>
      <c r="G4" s="163" t="s">
        <v>4</v>
      </c>
      <c r="H4" s="119" t="s">
        <v>5</v>
      </c>
      <c r="I4" s="143"/>
      <c r="J4" s="141" t="s">
        <v>395</v>
      </c>
      <c r="K4" s="116" t="s">
        <v>229</v>
      </c>
      <c r="L4" s="116" t="s">
        <v>293</v>
      </c>
      <c r="M4" s="116" t="s">
        <v>4</v>
      </c>
      <c r="N4" s="105" t="s">
        <v>549</v>
      </c>
      <c r="O4" s="119" t="s">
        <v>5</v>
      </c>
      <c r="P4" s="96" t="s">
        <v>765</v>
      </c>
      <c r="Q4" s="97" t="s">
        <v>547</v>
      </c>
      <c r="R4" s="42"/>
      <c r="S4" s="44" t="s">
        <v>4</v>
      </c>
      <c r="T4" s="59" t="s">
        <v>62</v>
      </c>
      <c r="U4" s="73" t="s">
        <v>229</v>
      </c>
      <c r="V4" s="79" t="s">
        <v>293</v>
      </c>
      <c r="W4" s="81" t="s">
        <v>395</v>
      </c>
      <c r="X4" s="93" t="s">
        <v>466</v>
      </c>
      <c r="Y4" s="33" t="s">
        <v>34</v>
      </c>
      <c r="Z4" s="95" t="s">
        <v>5</v>
      </c>
      <c r="AA4" s="96" t="s">
        <v>546</v>
      </c>
      <c r="AB4" s="97" t="s">
        <v>547</v>
      </c>
    </row>
    <row r="5" spans="1:47" x14ac:dyDescent="0.25">
      <c r="A5" s="207" t="s">
        <v>13</v>
      </c>
      <c r="B5" s="214"/>
      <c r="C5" s="215"/>
      <c r="D5" s="22"/>
      <c r="E5" s="177"/>
      <c r="F5" s="50"/>
      <c r="G5" s="50"/>
      <c r="H5" s="121"/>
      <c r="I5" s="22"/>
      <c r="J5" s="22"/>
      <c r="K5" s="22"/>
      <c r="L5" s="22"/>
      <c r="M5" s="22"/>
      <c r="N5" s="22"/>
      <c r="O5" s="121"/>
      <c r="P5" s="96"/>
      <c r="Q5" s="97"/>
      <c r="R5" s="22"/>
      <c r="S5" s="22"/>
      <c r="T5" s="22"/>
      <c r="U5" s="22"/>
      <c r="V5" s="22"/>
      <c r="W5" s="22"/>
      <c r="X5" s="22"/>
      <c r="Y5" s="22"/>
      <c r="Z5" s="95"/>
      <c r="AA5" s="96"/>
      <c r="AB5" s="97"/>
    </row>
    <row r="6" spans="1:47" s="52" customFormat="1" x14ac:dyDescent="0.25">
      <c r="A6" s="60" t="s">
        <v>362</v>
      </c>
      <c r="B6" s="65" t="s">
        <v>63</v>
      </c>
      <c r="C6" s="62">
        <v>2009</v>
      </c>
      <c r="D6" s="1">
        <f>Q6+G6+F6+H6+E6</f>
        <v>499</v>
      </c>
      <c r="E6" s="177">
        <f>9+6+6</f>
        <v>21</v>
      </c>
      <c r="F6" s="50">
        <f>9+39+9</f>
        <v>57</v>
      </c>
      <c r="G6" s="50">
        <f>21+15+9</f>
        <v>45</v>
      </c>
      <c r="H6" s="120">
        <f>9</f>
        <v>9</v>
      </c>
      <c r="I6" s="22"/>
      <c r="J6" s="50">
        <f>6+6</f>
        <v>12</v>
      </c>
      <c r="K6" s="50"/>
      <c r="L6" s="50">
        <f>90+69</f>
        <v>159</v>
      </c>
      <c r="M6" s="50">
        <f>9+15</f>
        <v>24</v>
      </c>
      <c r="N6" s="50">
        <f>AB6</f>
        <v>169</v>
      </c>
      <c r="O6" s="120">
        <f>3</f>
        <v>3</v>
      </c>
      <c r="P6" s="96">
        <f>SUM(J6:N6)</f>
        <v>364</v>
      </c>
      <c r="Q6" s="97">
        <f>IF(C6=2011, P6/3,P6)+O6</f>
        <v>367</v>
      </c>
      <c r="R6" s="22"/>
      <c r="S6" s="13"/>
      <c r="T6" s="13"/>
      <c r="U6" s="13"/>
      <c r="V6" s="13">
        <f>15+12</f>
        <v>27</v>
      </c>
      <c r="W6" s="13">
        <f>0</f>
        <v>0</v>
      </c>
      <c r="X6" s="13">
        <f>51+6</f>
        <v>57</v>
      </c>
      <c r="Y6" s="13">
        <f>79</f>
        <v>79</v>
      </c>
      <c r="Z6" s="95">
        <f>6</f>
        <v>6</v>
      </c>
      <c r="AA6" s="96">
        <f>SUM(S6:Y6)</f>
        <v>163</v>
      </c>
      <c r="AB6" s="97">
        <f>IF(C6=2010, AA6/3,AA6)+Z6</f>
        <v>169</v>
      </c>
    </row>
    <row r="7" spans="1:47" x14ac:dyDescent="0.25">
      <c r="A7" s="11" t="s">
        <v>19</v>
      </c>
      <c r="B7" s="60" t="s">
        <v>63</v>
      </c>
      <c r="C7" s="3">
        <v>2011</v>
      </c>
      <c r="D7" s="1">
        <f>Q7+G7+F7+H7+E7</f>
        <v>397.66666666666669</v>
      </c>
      <c r="E7" s="177">
        <f>0</f>
        <v>0</v>
      </c>
      <c r="F7" s="50"/>
      <c r="G7" s="50">
        <f>36+9</f>
        <v>45</v>
      </c>
      <c r="H7" s="120"/>
      <c r="I7" s="50"/>
      <c r="J7" s="50"/>
      <c r="K7" s="50">
        <f>48+45</f>
        <v>93</v>
      </c>
      <c r="L7" s="50">
        <f>147</f>
        <v>147</v>
      </c>
      <c r="M7" s="50">
        <f>24+48</f>
        <v>72</v>
      </c>
      <c r="N7" s="50">
        <f>AB7</f>
        <v>746</v>
      </c>
      <c r="O7" s="120"/>
      <c r="P7" s="96">
        <f>SUM(J7:N7)</f>
        <v>1058</v>
      </c>
      <c r="Q7" s="97">
        <f>IF(C7=2011, P7/3,P7)+O7</f>
        <v>352.66666666666669</v>
      </c>
      <c r="R7" s="22"/>
      <c r="S7" s="50">
        <f>10</f>
        <v>10</v>
      </c>
      <c r="T7" s="50"/>
      <c r="U7" s="50">
        <f>66</f>
        <v>66</v>
      </c>
      <c r="V7" s="50">
        <f>57+9</f>
        <v>66</v>
      </c>
      <c r="W7" s="50">
        <f>9+33</f>
        <v>42</v>
      </c>
      <c r="X7" s="50">
        <f>42+39</f>
        <v>81</v>
      </c>
      <c r="Y7" s="50">
        <v>481</v>
      </c>
      <c r="Z7" s="95"/>
      <c r="AA7" s="96">
        <f>SUM(S7:Y7)</f>
        <v>746</v>
      </c>
      <c r="AB7" s="97">
        <f>IF(C7=2015, AA7/3,AA7)+Z7</f>
        <v>746</v>
      </c>
      <c r="AC7" s="155"/>
    </row>
    <row r="8" spans="1:47" x14ac:dyDescent="0.25">
      <c r="A8" s="11" t="s">
        <v>277</v>
      </c>
      <c r="B8" s="19" t="s">
        <v>0</v>
      </c>
      <c r="C8" s="3">
        <v>2008</v>
      </c>
      <c r="D8" s="1">
        <f>Q8+G8+F8+H8+E8</f>
        <v>484</v>
      </c>
      <c r="E8" s="177">
        <f>6</f>
        <v>6</v>
      </c>
      <c r="F8" s="50"/>
      <c r="G8" s="50"/>
      <c r="H8" s="120">
        <f>3+3</f>
        <v>6</v>
      </c>
      <c r="I8" s="22"/>
      <c r="J8" s="50">
        <f>0</f>
        <v>0</v>
      </c>
      <c r="K8" s="50"/>
      <c r="L8" s="50">
        <f>162</f>
        <v>162</v>
      </c>
      <c r="M8" s="50"/>
      <c r="N8" s="50">
        <f>AB8</f>
        <v>310</v>
      </c>
      <c r="O8" s="120"/>
      <c r="P8" s="96">
        <f>SUM(J8:N8)</f>
        <v>472</v>
      </c>
      <c r="Q8" s="97">
        <f>IF(C8=2011, P8/3,P8)+O8</f>
        <v>472</v>
      </c>
      <c r="R8" s="22"/>
      <c r="U8" s="13">
        <f>21</f>
        <v>21</v>
      </c>
      <c r="W8" s="13">
        <f>6+6</f>
        <v>12</v>
      </c>
      <c r="X8" s="13">
        <f>51+3</f>
        <v>54</v>
      </c>
      <c r="Y8" s="13">
        <f>223</f>
        <v>223</v>
      </c>
      <c r="Z8" s="95"/>
      <c r="AA8" s="96">
        <f>SUM(S8:Y8)</f>
        <v>310</v>
      </c>
      <c r="AB8" s="97">
        <f>IF(C8=2010, AA8/3,AA8)+Z8</f>
        <v>310</v>
      </c>
    </row>
    <row r="9" spans="1:47" s="52" customFormat="1" x14ac:dyDescent="0.25">
      <c r="A9" s="11" t="s">
        <v>330</v>
      </c>
      <c r="B9" s="60" t="s">
        <v>0</v>
      </c>
      <c r="C9" s="3">
        <v>2011</v>
      </c>
      <c r="D9" s="1">
        <f>Q9+G9+F9+H9+E9</f>
        <v>360.66666666666663</v>
      </c>
      <c r="E9" s="177"/>
      <c r="F9" s="50">
        <f>45</f>
        <v>45</v>
      </c>
      <c r="G9" s="50">
        <f>33+3</f>
        <v>36</v>
      </c>
      <c r="H9" s="120"/>
      <c r="I9" s="50"/>
      <c r="J9" s="50"/>
      <c r="K9" s="50"/>
      <c r="L9" s="50"/>
      <c r="M9" s="50">
        <f>3+3</f>
        <v>6</v>
      </c>
      <c r="N9" s="50">
        <f>AB9</f>
        <v>689</v>
      </c>
      <c r="O9" s="120">
        <f>18+18+9+3</f>
        <v>48</v>
      </c>
      <c r="P9" s="96">
        <f>SUM(J9:N9)</f>
        <v>695</v>
      </c>
      <c r="Q9" s="97">
        <f>IF(C9=2011, P9/3,P9)+O9</f>
        <v>279.66666666666663</v>
      </c>
      <c r="R9" s="22"/>
      <c r="S9" s="50"/>
      <c r="T9" s="50"/>
      <c r="U9" s="50"/>
      <c r="V9" s="50">
        <f>57+18</f>
        <v>75</v>
      </c>
      <c r="W9" s="50">
        <f>39</f>
        <v>39</v>
      </c>
      <c r="X9" s="50">
        <f>39+3+3</f>
        <v>45</v>
      </c>
      <c r="Y9" s="22">
        <v>530</v>
      </c>
      <c r="Z9" s="95"/>
      <c r="AA9" s="96">
        <f>SUM(S9:Y9)</f>
        <v>689</v>
      </c>
      <c r="AB9" s="97">
        <f>IF(C9=2015, AA9/3,AA9)+Z9</f>
        <v>689</v>
      </c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x14ac:dyDescent="0.25">
      <c r="A10" s="11" t="s">
        <v>26</v>
      </c>
      <c r="B10" s="11" t="s">
        <v>23</v>
      </c>
      <c r="C10" s="3">
        <v>2010</v>
      </c>
      <c r="D10" s="1">
        <f>Q10+G10+F10+H10+E10</f>
        <v>461</v>
      </c>
      <c r="E10" s="177"/>
      <c r="F10" s="50"/>
      <c r="G10" s="50"/>
      <c r="H10" s="120"/>
      <c r="I10" s="22"/>
      <c r="J10" s="50"/>
      <c r="K10" s="50"/>
      <c r="L10" s="50">
        <f>207+45</f>
        <v>252</v>
      </c>
      <c r="M10" s="50"/>
      <c r="N10" s="50">
        <f>AB10</f>
        <v>209</v>
      </c>
      <c r="O10" s="120"/>
      <c r="P10" s="96">
        <f>SUM(J10:N10)</f>
        <v>461</v>
      </c>
      <c r="Q10" s="97">
        <f>IF(C10=2011, P10/3,P10)+O10</f>
        <v>461</v>
      </c>
      <c r="R10" s="22"/>
      <c r="S10" s="50">
        <f>3</f>
        <v>3</v>
      </c>
      <c r="T10" s="50"/>
      <c r="U10" s="50"/>
      <c r="V10" s="50"/>
      <c r="W10" s="50"/>
      <c r="X10" s="50"/>
      <c r="Y10" s="50">
        <v>624</v>
      </c>
      <c r="Z10" s="95"/>
      <c r="AA10" s="96">
        <f>SUM(S10:Y10)</f>
        <v>627</v>
      </c>
      <c r="AB10" s="97">
        <f>IF(C10=2010, AA10/3,AA10)+Z10</f>
        <v>209</v>
      </c>
    </row>
    <row r="11" spans="1:47" x14ac:dyDescent="0.25">
      <c r="A11" s="11" t="s">
        <v>335</v>
      </c>
      <c r="B11" s="11" t="s">
        <v>0</v>
      </c>
      <c r="C11" s="3">
        <v>2010</v>
      </c>
      <c r="D11" s="1">
        <f>Q11+G11+F11+H11+E11</f>
        <v>435</v>
      </c>
      <c r="E11" s="177">
        <f>3</f>
        <v>3</v>
      </c>
      <c r="F11" s="50"/>
      <c r="G11" s="50">
        <f>30+3+3</f>
        <v>36</v>
      </c>
      <c r="H11" s="120">
        <f>3</f>
        <v>3</v>
      </c>
      <c r="I11" s="22"/>
      <c r="J11" s="50">
        <f>3+3</f>
        <v>6</v>
      </c>
      <c r="K11" s="50">
        <f>21+18</f>
        <v>39</v>
      </c>
      <c r="L11" s="50">
        <f>39</f>
        <v>39</v>
      </c>
      <c r="M11" s="50">
        <f>8+18</f>
        <v>26</v>
      </c>
      <c r="N11" s="50">
        <f>AB11</f>
        <v>283</v>
      </c>
      <c r="O11" s="120"/>
      <c r="P11" s="96">
        <f>SUM(J11:N11)</f>
        <v>393</v>
      </c>
      <c r="Q11" s="97">
        <f>IF(C11=2011, P11/3,P11)+O11</f>
        <v>393</v>
      </c>
      <c r="R11" s="22"/>
      <c r="S11" s="50"/>
      <c r="T11" s="50"/>
      <c r="U11" s="50"/>
      <c r="V11" s="50">
        <f>27+18</f>
        <v>45</v>
      </c>
      <c r="W11" s="50">
        <f>12+39</f>
        <v>51</v>
      </c>
      <c r="X11" s="50">
        <f>51+39+3+3</f>
        <v>96</v>
      </c>
      <c r="Y11" s="50">
        <f>657</f>
        <v>657</v>
      </c>
      <c r="Z11" s="95"/>
      <c r="AA11" s="96">
        <f>SUM(S11:Y11)</f>
        <v>849</v>
      </c>
      <c r="AB11" s="97">
        <f>IF(C11=2010, AA11/3,AA11)+Z11</f>
        <v>283</v>
      </c>
    </row>
    <row r="12" spans="1:47" x14ac:dyDescent="0.25">
      <c r="A12" s="60" t="s">
        <v>173</v>
      </c>
      <c r="B12" s="85" t="s">
        <v>64</v>
      </c>
      <c r="C12" s="62">
        <v>2009</v>
      </c>
      <c r="D12" s="1">
        <f>Q12+G12+F12+H12+E12</f>
        <v>351</v>
      </c>
      <c r="E12" s="177"/>
      <c r="F12" s="50"/>
      <c r="G12" s="50">
        <f>30</f>
        <v>30</v>
      </c>
      <c r="H12" s="120">
        <f>3+6</f>
        <v>9</v>
      </c>
      <c r="I12" s="22"/>
      <c r="J12" s="50"/>
      <c r="K12" s="50">
        <f>27</f>
        <v>27</v>
      </c>
      <c r="L12" s="50">
        <f>207</f>
        <v>207</v>
      </c>
      <c r="M12" s="50">
        <f>18+6</f>
        <v>24</v>
      </c>
      <c r="N12" s="50">
        <f>AB12</f>
        <v>54</v>
      </c>
      <c r="O12" s="120"/>
      <c r="P12" s="96">
        <f>SUM(J12:N12)</f>
        <v>312</v>
      </c>
      <c r="Q12" s="97">
        <f>IF(C12=2011, P12/3,P12)+O12</f>
        <v>312</v>
      </c>
      <c r="R12" s="22"/>
      <c r="T12" s="13">
        <v>54</v>
      </c>
      <c r="Z12" s="95"/>
      <c r="AA12" s="96">
        <f>SUM(S12:Y12)</f>
        <v>54</v>
      </c>
      <c r="AB12" s="97">
        <f>IF(C12=2010, AA12/3,AA12)+Z12</f>
        <v>54</v>
      </c>
    </row>
    <row r="13" spans="1:47" x14ac:dyDescent="0.25">
      <c r="A13" s="11" t="s">
        <v>360</v>
      </c>
      <c r="B13" s="19" t="s">
        <v>0</v>
      </c>
      <c r="C13" s="3">
        <v>2008</v>
      </c>
      <c r="D13" s="1">
        <f>Q13+G13+F13+H13+E13</f>
        <v>738</v>
      </c>
      <c r="E13" s="177"/>
      <c r="F13" s="50"/>
      <c r="G13" s="50"/>
      <c r="H13" s="120"/>
      <c r="I13" s="22"/>
      <c r="J13" s="50"/>
      <c r="K13" s="50">
        <f>12</f>
        <v>12</v>
      </c>
      <c r="L13" s="50">
        <f>240</f>
        <v>240</v>
      </c>
      <c r="M13" s="50"/>
      <c r="N13" s="50">
        <f>AB13</f>
        <v>486</v>
      </c>
      <c r="O13" s="120"/>
      <c r="P13" s="96">
        <f>SUM(J13:N13)</f>
        <v>738</v>
      </c>
      <c r="Q13" s="97">
        <f>IF(C13=2011, P13/3,P13)+O13</f>
        <v>738</v>
      </c>
      <c r="R13" s="22"/>
      <c r="V13" s="13">
        <f>39+6</f>
        <v>45</v>
      </c>
      <c r="W13" s="13">
        <f>9+6+6</f>
        <v>21</v>
      </c>
      <c r="X13" s="13">
        <f>66+9+3</f>
        <v>78</v>
      </c>
      <c r="Y13" s="13">
        <v>342</v>
      </c>
      <c r="Z13" s="95"/>
      <c r="AA13" s="96">
        <f>SUM(S13:Y13)</f>
        <v>486</v>
      </c>
      <c r="AB13" s="97">
        <f>IF(C13=2010, AA13/3,AA13)+Z13</f>
        <v>486</v>
      </c>
    </row>
    <row r="14" spans="1:47" x14ac:dyDescent="0.25">
      <c r="A14" s="51" t="s">
        <v>17</v>
      </c>
      <c r="B14" s="65" t="s">
        <v>63</v>
      </c>
      <c r="C14" s="52">
        <v>2009</v>
      </c>
      <c r="D14" s="1">
        <f>Q14+G14+F14+H14+E14</f>
        <v>554</v>
      </c>
      <c r="E14" s="177">
        <f>9+9+6</f>
        <v>24</v>
      </c>
      <c r="F14" s="50">
        <f>39+9</f>
        <v>48</v>
      </c>
      <c r="G14" s="50">
        <f>27+15+9</f>
        <v>51</v>
      </c>
      <c r="H14" s="120">
        <f>9</f>
        <v>9</v>
      </c>
      <c r="I14" s="22"/>
      <c r="J14" s="50">
        <f>12+6</f>
        <v>18</v>
      </c>
      <c r="K14" s="50">
        <f>36</f>
        <v>36</v>
      </c>
      <c r="L14" s="50">
        <f>162</f>
        <v>162</v>
      </c>
      <c r="M14" s="50">
        <f>24</f>
        <v>24</v>
      </c>
      <c r="N14" s="50">
        <f>AB14</f>
        <v>179</v>
      </c>
      <c r="O14" s="120">
        <f>3</f>
        <v>3</v>
      </c>
      <c r="P14" s="96">
        <f>SUM(J14:N14)</f>
        <v>419</v>
      </c>
      <c r="Q14" s="97">
        <f>IF(C14=2011, P14/3,P14)+O14</f>
        <v>422</v>
      </c>
      <c r="R14" s="22"/>
      <c r="S14" s="50">
        <f>9</f>
        <v>9</v>
      </c>
      <c r="T14" s="50">
        <f>15</f>
        <v>15</v>
      </c>
      <c r="U14" s="50"/>
      <c r="V14" s="50">
        <f>36</f>
        <v>36</v>
      </c>
      <c r="W14" s="50">
        <f>15</f>
        <v>15</v>
      </c>
      <c r="X14" s="50">
        <f>51+6</f>
        <v>57</v>
      </c>
      <c r="Y14" s="50">
        <v>41</v>
      </c>
      <c r="Z14" s="95">
        <f>6</f>
        <v>6</v>
      </c>
      <c r="AA14" s="96">
        <f>SUM(S14:Y14)</f>
        <v>173</v>
      </c>
      <c r="AB14" s="97">
        <f>IF(C14=2010, AA14/3,AA14)+Z14</f>
        <v>179</v>
      </c>
    </row>
    <row r="15" spans="1:47" x14ac:dyDescent="0.25">
      <c r="A15" s="11" t="s">
        <v>397</v>
      </c>
      <c r="B15" s="60" t="s">
        <v>63</v>
      </c>
      <c r="C15" s="62">
        <v>2011</v>
      </c>
      <c r="D15" s="1">
        <f>Q15+G15+F15+H15+E15</f>
        <v>340</v>
      </c>
      <c r="E15" s="177">
        <f>42+6+6+6</f>
        <v>60</v>
      </c>
      <c r="F15" s="50">
        <f>46+10+3+6</f>
        <v>65</v>
      </c>
      <c r="G15" s="50">
        <f>44+10+9</f>
        <v>63</v>
      </c>
      <c r="H15" s="120"/>
      <c r="I15" s="50"/>
      <c r="J15" s="50"/>
      <c r="K15" s="50">
        <f>40</f>
        <v>40</v>
      </c>
      <c r="L15" s="50">
        <f>54</f>
        <v>54</v>
      </c>
      <c r="M15" s="50">
        <f>43</f>
        <v>43</v>
      </c>
      <c r="N15" s="50">
        <f>AB15</f>
        <v>73</v>
      </c>
      <c r="O15" s="120">
        <f>15+15+38+14</f>
        <v>82</v>
      </c>
      <c r="P15" s="96">
        <f>SUM(J15:N15)</f>
        <v>210</v>
      </c>
      <c r="Q15" s="97">
        <f>IF(C15=2011, P15/3,P15)+O15</f>
        <v>152</v>
      </c>
      <c r="R15" s="22"/>
      <c r="S15" s="50"/>
      <c r="T15" s="50"/>
      <c r="U15" s="50"/>
      <c r="V15" s="50"/>
      <c r="W15" s="50">
        <v>36</v>
      </c>
      <c r="X15" s="50">
        <f>37</f>
        <v>37</v>
      </c>
      <c r="Y15" s="36"/>
      <c r="Z15" s="95"/>
      <c r="AA15" s="96">
        <f>SUM(S15:Y15)</f>
        <v>73</v>
      </c>
      <c r="AB15" s="97">
        <f>IF(C15=2015, AA15/3,AA15)+Z15</f>
        <v>73</v>
      </c>
    </row>
    <row r="16" spans="1:47" x14ac:dyDescent="0.25">
      <c r="A16" s="60" t="s">
        <v>174</v>
      </c>
      <c r="B16" s="85" t="s">
        <v>64</v>
      </c>
      <c r="C16" s="62">
        <v>2008</v>
      </c>
      <c r="D16" s="1">
        <f>Q16+G16+F16+H16+E16</f>
        <v>424</v>
      </c>
      <c r="E16" s="177"/>
      <c r="F16" s="50">
        <f>30+3</f>
        <v>33</v>
      </c>
      <c r="G16" s="50">
        <f>36</f>
        <v>36</v>
      </c>
      <c r="H16" s="120">
        <f>3+3+6+15+3</f>
        <v>30</v>
      </c>
      <c r="I16" s="22"/>
      <c r="J16" s="50"/>
      <c r="K16" s="50">
        <f>6</f>
        <v>6</v>
      </c>
      <c r="L16" s="50">
        <f>231</f>
        <v>231</v>
      </c>
      <c r="M16" s="50">
        <f>9+6</f>
        <v>15</v>
      </c>
      <c r="N16" s="50">
        <f>AB16</f>
        <v>61</v>
      </c>
      <c r="O16" s="120">
        <f>9+3</f>
        <v>12</v>
      </c>
      <c r="P16" s="96">
        <f>SUM(J16:N16)</f>
        <v>313</v>
      </c>
      <c r="Q16" s="97">
        <f>IF(C16=2011, P16/3,P16)+O16</f>
        <v>325</v>
      </c>
      <c r="R16" s="22"/>
      <c r="T16" s="13">
        <v>51</v>
      </c>
      <c r="Y16" s="13">
        <f>10</f>
        <v>10</v>
      </c>
      <c r="Z16" s="95"/>
      <c r="AA16" s="96">
        <f>SUM(S16:Y16)</f>
        <v>61</v>
      </c>
      <c r="AB16" s="97">
        <f>IF(C16=2010, AA16/3,AA16)+Z16</f>
        <v>61</v>
      </c>
    </row>
    <row r="17" spans="1:47" x14ac:dyDescent="0.25">
      <c r="A17" s="51" t="s">
        <v>18</v>
      </c>
      <c r="B17" s="65" t="s">
        <v>63</v>
      </c>
      <c r="C17" s="52">
        <v>2009</v>
      </c>
      <c r="D17" s="1">
        <f>Q17+G17+F17+H17+E17</f>
        <v>692.33333333333337</v>
      </c>
      <c r="E17" s="177">
        <f>0</f>
        <v>0</v>
      </c>
      <c r="F17" s="50">
        <f>21+9</f>
        <v>30</v>
      </c>
      <c r="G17" s="50"/>
      <c r="H17" s="120">
        <f>9</f>
        <v>9</v>
      </c>
      <c r="I17" s="22"/>
      <c r="J17" s="50"/>
      <c r="K17" s="50">
        <f>33</f>
        <v>33</v>
      </c>
      <c r="L17" s="50">
        <f>207+69</f>
        <v>276</v>
      </c>
      <c r="M17" s="50">
        <f>21+15</f>
        <v>36</v>
      </c>
      <c r="N17" s="50">
        <f>AB17</f>
        <v>305.33333333333337</v>
      </c>
      <c r="O17" s="120">
        <f>3</f>
        <v>3</v>
      </c>
      <c r="P17" s="96">
        <f>SUM(J17:N17)</f>
        <v>650.33333333333337</v>
      </c>
      <c r="Q17" s="97">
        <f>IF(C17=2011, P17/3,P17)+O17</f>
        <v>653.33333333333337</v>
      </c>
      <c r="R17" s="22"/>
      <c r="S17" s="50">
        <f>3</f>
        <v>3</v>
      </c>
      <c r="T17" s="50">
        <f>36</f>
        <v>36</v>
      </c>
      <c r="U17" s="50"/>
      <c r="V17" s="50">
        <f>24+12</f>
        <v>36</v>
      </c>
      <c r="W17" s="50">
        <f>3</f>
        <v>3</v>
      </c>
      <c r="X17" s="50">
        <f>39+6</f>
        <v>45</v>
      </c>
      <c r="Y17" s="50">
        <v>176.33333333333334</v>
      </c>
      <c r="Z17" s="95">
        <f>6</f>
        <v>6</v>
      </c>
      <c r="AA17" s="96">
        <f>SUM(S17:Y17)</f>
        <v>299.33333333333337</v>
      </c>
      <c r="AB17" s="97">
        <f>IF(C17=2010, AA17/3,AA17)+Z17</f>
        <v>305.33333333333337</v>
      </c>
    </row>
    <row r="18" spans="1:47" x14ac:dyDescent="0.25">
      <c r="A18" s="60" t="s">
        <v>181</v>
      </c>
      <c r="B18" s="85" t="s">
        <v>64</v>
      </c>
      <c r="C18" s="62">
        <v>2009</v>
      </c>
      <c r="D18" s="1">
        <f>Q18+G18+F18+H18+E18</f>
        <v>317</v>
      </c>
      <c r="E18" s="177"/>
      <c r="F18" s="50"/>
      <c r="G18" s="50"/>
      <c r="H18" s="120"/>
      <c r="I18" s="22"/>
      <c r="J18" s="50"/>
      <c r="K18" s="50">
        <f>24</f>
        <v>24</v>
      </c>
      <c r="L18" s="50"/>
      <c r="M18" s="50"/>
      <c r="N18" s="50">
        <f>AB18</f>
        <v>293</v>
      </c>
      <c r="O18" s="120"/>
      <c r="P18" s="96">
        <f>SUM(J18:N18)</f>
        <v>317</v>
      </c>
      <c r="Q18" s="97">
        <f>IF(C18=2011, P18/3,P18)+O18</f>
        <v>317</v>
      </c>
      <c r="R18" s="22"/>
      <c r="T18" s="13">
        <v>15</v>
      </c>
      <c r="Y18" s="13">
        <f>278</f>
        <v>278</v>
      </c>
      <c r="Z18" s="95"/>
      <c r="AA18" s="96">
        <f>SUM(S18:Y18)</f>
        <v>293</v>
      </c>
      <c r="AB18" s="97">
        <f>IF(C18=2010, AA18/3,AA18)+Z18</f>
        <v>293</v>
      </c>
    </row>
    <row r="19" spans="1:47" x14ac:dyDescent="0.25">
      <c r="A19" s="60" t="s">
        <v>359</v>
      </c>
      <c r="B19" s="65" t="s">
        <v>0</v>
      </c>
      <c r="C19" s="62">
        <v>2008</v>
      </c>
      <c r="D19" s="1">
        <f>Q19+G19+F19+H19+E19</f>
        <v>1272</v>
      </c>
      <c r="E19" s="177">
        <f>12</f>
        <v>12</v>
      </c>
      <c r="F19" s="50">
        <f>33+6</f>
        <v>39</v>
      </c>
      <c r="G19" s="50">
        <f>39+3</f>
        <v>42</v>
      </c>
      <c r="H19" s="120">
        <f>3</f>
        <v>3</v>
      </c>
      <c r="I19" s="22"/>
      <c r="J19" s="50">
        <f>3</f>
        <v>3</v>
      </c>
      <c r="K19" s="50">
        <f>21</f>
        <v>21</v>
      </c>
      <c r="L19" s="50">
        <f>261</f>
        <v>261</v>
      </c>
      <c r="M19" s="50"/>
      <c r="N19" s="50">
        <f>AB19</f>
        <v>891</v>
      </c>
      <c r="O19" s="120"/>
      <c r="P19" s="96">
        <f>SUM(J19:N19)</f>
        <v>1176</v>
      </c>
      <c r="Q19" s="97">
        <f>IF(C19=2011, P19/3,P19)+O19</f>
        <v>1176</v>
      </c>
      <c r="R19" s="22"/>
      <c r="V19" s="13">
        <f>48</f>
        <v>48</v>
      </c>
      <c r="W19" s="13">
        <f>18+6</f>
        <v>24</v>
      </c>
      <c r="X19" s="13">
        <f>90+3</f>
        <v>93</v>
      </c>
      <c r="Y19" s="13">
        <v>726</v>
      </c>
      <c r="Z19" s="95"/>
      <c r="AA19" s="96">
        <f>SUM(S19:Y19)</f>
        <v>891</v>
      </c>
      <c r="AB19" s="97">
        <f>IF(C19=2010, AA19/3,AA19)+Z19</f>
        <v>891</v>
      </c>
    </row>
    <row r="20" spans="1:47" x14ac:dyDescent="0.25">
      <c r="A20" s="60" t="s">
        <v>148</v>
      </c>
      <c r="B20" s="65" t="s">
        <v>63</v>
      </c>
      <c r="C20" s="62">
        <v>2008</v>
      </c>
      <c r="D20" s="1">
        <f>Q20+G20+F20+H20+E20</f>
        <v>719</v>
      </c>
      <c r="E20" s="177">
        <f>9</f>
        <v>9</v>
      </c>
      <c r="F20" s="50">
        <f>9</f>
        <v>9</v>
      </c>
      <c r="G20" s="50"/>
      <c r="H20" s="120"/>
      <c r="I20" s="22"/>
      <c r="J20" s="50"/>
      <c r="K20" s="50">
        <f>9</f>
        <v>9</v>
      </c>
      <c r="L20" s="50">
        <f>186</f>
        <v>186</v>
      </c>
      <c r="M20" s="50">
        <f>12</f>
        <v>12</v>
      </c>
      <c r="N20" s="50">
        <f>AB20</f>
        <v>476</v>
      </c>
      <c r="O20" s="120">
        <f>6+3+3+6</f>
        <v>18</v>
      </c>
      <c r="P20" s="96">
        <f>SUM(J20:N20)</f>
        <v>683</v>
      </c>
      <c r="Q20" s="97">
        <f>IF(C20=2011, P20/3,P20)+O20</f>
        <v>701</v>
      </c>
      <c r="R20" s="22"/>
      <c r="T20" s="13">
        <v>36</v>
      </c>
      <c r="V20" s="13">
        <f>15</f>
        <v>15</v>
      </c>
      <c r="W20" s="13">
        <f>12</f>
        <v>12</v>
      </c>
      <c r="X20" s="13">
        <f>66</f>
        <v>66</v>
      </c>
      <c r="Y20" s="13">
        <f>335</f>
        <v>335</v>
      </c>
      <c r="Z20" s="95">
        <f>3+3+6</f>
        <v>12</v>
      </c>
      <c r="AA20" s="96">
        <f>SUM(S20:Y20)</f>
        <v>464</v>
      </c>
      <c r="AB20" s="97">
        <f>IF(C20=2010, AA20/3,AA20)+Z20</f>
        <v>476</v>
      </c>
    </row>
    <row r="21" spans="1:47" x14ac:dyDescent="0.25">
      <c r="A21" s="60" t="s">
        <v>665</v>
      </c>
      <c r="B21" s="85" t="s">
        <v>23</v>
      </c>
      <c r="C21" s="62">
        <v>2008</v>
      </c>
      <c r="D21" s="1">
        <f>Q21+G21+F21+H21+E21</f>
        <v>401</v>
      </c>
      <c r="E21" s="177"/>
      <c r="F21" s="50"/>
      <c r="G21" s="50"/>
      <c r="H21" s="120"/>
      <c r="I21" s="22"/>
      <c r="J21" s="50"/>
      <c r="K21" s="50"/>
      <c r="L21" s="50">
        <f>195+45</f>
        <v>240</v>
      </c>
      <c r="M21" s="50"/>
      <c r="N21" s="50">
        <v>161</v>
      </c>
      <c r="O21" s="120"/>
      <c r="P21" s="96">
        <f>SUM(J21:N21)</f>
        <v>401</v>
      </c>
      <c r="Q21" s="97">
        <f>IF(C21=2011, P21/3,P21)+O21</f>
        <v>401</v>
      </c>
      <c r="R21" s="22"/>
      <c r="Z21" s="95"/>
      <c r="AA21" s="96"/>
      <c r="AB21" s="97"/>
    </row>
    <row r="22" spans="1:47" s="17" customFormat="1" x14ac:dyDescent="0.25">
      <c r="A22" s="199" t="s">
        <v>37</v>
      </c>
      <c r="B22" s="216"/>
      <c r="C22" s="217"/>
      <c r="D22" s="22"/>
      <c r="E22" s="177"/>
      <c r="F22" s="50"/>
      <c r="G22" s="50"/>
      <c r="H22" s="50"/>
      <c r="I22" s="22"/>
      <c r="J22" s="50"/>
      <c r="K22" s="50"/>
      <c r="L22" s="50"/>
      <c r="M22" s="50"/>
      <c r="N22" s="50"/>
      <c r="O22" s="50"/>
      <c r="P22" s="96">
        <f t="shared" ref="P6:P33" si="0">SUM(J22:N22)</f>
        <v>0</v>
      </c>
      <c r="Q22" s="97">
        <f t="shared" ref="Q6:Q33" si="1">IF(C22=2011, P22/3,P22)+O22</f>
        <v>0</v>
      </c>
      <c r="R22" s="22"/>
      <c r="S22" s="22"/>
      <c r="T22" s="22"/>
      <c r="U22" s="22"/>
      <c r="V22" s="22"/>
      <c r="W22" s="22"/>
      <c r="X22" s="22"/>
      <c r="Y22" s="22"/>
      <c r="Z22" s="68"/>
      <c r="AA22" s="68"/>
      <c r="AB22" s="68"/>
    </row>
    <row r="23" spans="1:47" s="17" customFormat="1" x14ac:dyDescent="0.25">
      <c r="A23" s="11" t="s">
        <v>363</v>
      </c>
      <c r="B23" s="83" t="s">
        <v>63</v>
      </c>
      <c r="C23" s="17">
        <v>2009</v>
      </c>
      <c r="D23" s="1">
        <f>Q23+G23+F23+H23+E23</f>
        <v>28</v>
      </c>
      <c r="E23" s="177"/>
      <c r="F23" s="50"/>
      <c r="G23" s="50"/>
      <c r="H23" s="120"/>
      <c r="I23" s="22"/>
      <c r="J23" s="50"/>
      <c r="K23" s="50"/>
      <c r="L23" s="50">
        <f>12</f>
        <v>12</v>
      </c>
      <c r="M23" s="50"/>
      <c r="N23" s="50">
        <f>AB23</f>
        <v>16</v>
      </c>
      <c r="O23" s="120"/>
      <c r="P23" s="96">
        <f>SUM(J23:N23)</f>
        <v>28</v>
      </c>
      <c r="Q23" s="97">
        <f>IF(C23=2011, P23/3,P23)+O23</f>
        <v>28</v>
      </c>
      <c r="R23" s="22"/>
      <c r="S23" s="22"/>
      <c r="T23" s="22"/>
      <c r="U23" s="22"/>
      <c r="V23" s="13">
        <f>0</f>
        <v>0</v>
      </c>
      <c r="W23" s="13"/>
      <c r="X23" s="13"/>
      <c r="Y23" s="13">
        <f>16</f>
        <v>16</v>
      </c>
      <c r="Z23" s="95"/>
      <c r="AA23" s="96">
        <f>SUM(S23:Y23)</f>
        <v>16</v>
      </c>
      <c r="AB23" s="97">
        <f>IF(C23=2010, AA23/3,AA23)+Z23</f>
        <v>16</v>
      </c>
    </row>
    <row r="24" spans="1:47" x14ac:dyDescent="0.25">
      <c r="A24" s="11" t="s">
        <v>115</v>
      </c>
      <c r="B24" s="60" t="s">
        <v>87</v>
      </c>
      <c r="C24" s="62">
        <v>2011</v>
      </c>
      <c r="D24" s="1">
        <f>Q24+G24+F24+H24+E24</f>
        <v>35.333333333333336</v>
      </c>
      <c r="E24" s="177"/>
      <c r="F24" s="50"/>
      <c r="G24" s="50"/>
      <c r="H24" s="120"/>
      <c r="I24" s="50"/>
      <c r="J24" s="50"/>
      <c r="K24" s="50"/>
      <c r="L24" s="50"/>
      <c r="M24" s="50"/>
      <c r="N24" s="50">
        <f>AB24</f>
        <v>106</v>
      </c>
      <c r="O24" s="120"/>
      <c r="P24" s="96">
        <f>SUM(J24:N24)</f>
        <v>106</v>
      </c>
      <c r="Q24" s="97">
        <f>IF(C24=2011, P24/3,P24)+O24</f>
        <v>35.333333333333336</v>
      </c>
      <c r="R24" s="22"/>
      <c r="S24" s="41"/>
      <c r="T24" s="67">
        <f>39+6</f>
        <v>45</v>
      </c>
      <c r="U24" s="41"/>
      <c r="V24" s="41">
        <f>53+8</f>
        <v>61</v>
      </c>
      <c r="W24" s="41"/>
      <c r="X24" s="41"/>
      <c r="Z24" s="95"/>
      <c r="AA24" s="96">
        <f>SUM(S24:Y24)</f>
        <v>106</v>
      </c>
      <c r="AB24" s="97">
        <f>IF(C24=2015, AA24/3,AA24)+Z24</f>
        <v>106</v>
      </c>
    </row>
    <row r="25" spans="1:47" s="17" customFormat="1" x14ac:dyDescent="0.25">
      <c r="A25" s="60" t="s">
        <v>659</v>
      </c>
      <c r="B25" s="65" t="s">
        <v>64</v>
      </c>
      <c r="C25" s="62">
        <v>2008</v>
      </c>
      <c r="D25" s="1">
        <f>Q25+G25+F25+H25+E25</f>
        <v>162</v>
      </c>
      <c r="E25" s="177"/>
      <c r="F25" s="50">
        <f>27+15</f>
        <v>42</v>
      </c>
      <c r="G25" s="50">
        <f>33+12</f>
        <v>45</v>
      </c>
      <c r="H25" s="120"/>
      <c r="I25" s="22"/>
      <c r="J25" s="50"/>
      <c r="K25" s="50"/>
      <c r="L25" s="50">
        <f>12+63</f>
        <v>75</v>
      </c>
      <c r="M25" s="50"/>
      <c r="N25" s="50"/>
      <c r="O25" s="120"/>
      <c r="P25" s="96">
        <f>SUM(J25:N25)</f>
        <v>75</v>
      </c>
      <c r="Q25" s="97">
        <f>IF(C25=2011, P25/3,P25)+O25</f>
        <v>75</v>
      </c>
      <c r="R25" s="22"/>
      <c r="S25" s="50"/>
      <c r="T25" s="50"/>
      <c r="U25" s="50"/>
      <c r="V25" s="50"/>
      <c r="W25" s="50"/>
      <c r="X25" s="50"/>
      <c r="Y25" s="50"/>
      <c r="Z25" s="68"/>
      <c r="AA25" s="68"/>
      <c r="AB25" s="68"/>
    </row>
    <row r="26" spans="1:47" s="17" customFormat="1" x14ac:dyDescent="0.25">
      <c r="A26" s="60" t="s">
        <v>521</v>
      </c>
      <c r="B26" s="65" t="s">
        <v>87</v>
      </c>
      <c r="C26" s="62">
        <v>2008</v>
      </c>
      <c r="D26" s="1">
        <f>Q26+G26+F26+H26+E26</f>
        <v>3</v>
      </c>
      <c r="E26" s="177"/>
      <c r="F26" s="50"/>
      <c r="G26" s="50"/>
      <c r="H26" s="120"/>
      <c r="I26" s="22"/>
      <c r="J26" s="50"/>
      <c r="K26" s="50"/>
      <c r="L26" s="50"/>
      <c r="M26" s="50"/>
      <c r="N26" s="50">
        <f>AB26</f>
        <v>3</v>
      </c>
      <c r="O26" s="120"/>
      <c r="P26" s="96">
        <f>SUM(J26:N26)</f>
        <v>3</v>
      </c>
      <c r="Q26" s="97">
        <f>IF(C26=2011, P26/3,P26)+O26</f>
        <v>3</v>
      </c>
      <c r="R26" s="22"/>
      <c r="S26" s="13"/>
      <c r="T26" s="13"/>
      <c r="U26" s="13"/>
      <c r="V26" s="13"/>
      <c r="W26" s="13"/>
      <c r="X26" s="13">
        <f>0</f>
        <v>0</v>
      </c>
      <c r="Y26" s="13"/>
      <c r="Z26" s="95">
        <f>3</f>
        <v>3</v>
      </c>
      <c r="AA26" s="96">
        <f>SUM(S26:Y26)</f>
        <v>0</v>
      </c>
      <c r="AB26" s="97">
        <f>IF(C26=2010, AA26/3,AA26)+Z26</f>
        <v>3</v>
      </c>
    </row>
    <row r="27" spans="1:47" s="17" customFormat="1" x14ac:dyDescent="0.25">
      <c r="A27" s="60" t="s">
        <v>499</v>
      </c>
      <c r="B27" s="65" t="s">
        <v>36</v>
      </c>
      <c r="C27" s="62">
        <v>2009</v>
      </c>
      <c r="D27" s="1">
        <f>Q27+G27+F27+H27+E27</f>
        <v>127</v>
      </c>
      <c r="E27" s="177"/>
      <c r="F27" s="50"/>
      <c r="G27" s="50"/>
      <c r="H27" s="120"/>
      <c r="I27" s="22"/>
      <c r="J27" s="50"/>
      <c r="K27" s="50">
        <f>17+15</f>
        <v>32</v>
      </c>
      <c r="L27" s="50">
        <f>22+16</f>
        <v>38</v>
      </c>
      <c r="M27" s="50">
        <f>16+9</f>
        <v>25</v>
      </c>
      <c r="N27" s="50">
        <f>AB27</f>
        <v>32</v>
      </c>
      <c r="O27" s="120"/>
      <c r="P27" s="96">
        <f>SUM(J27:N27)</f>
        <v>127</v>
      </c>
      <c r="Q27" s="97">
        <f>IF(C27=2011, P27/3,P27)+O27</f>
        <v>127</v>
      </c>
      <c r="R27" s="22"/>
      <c r="S27" s="13"/>
      <c r="T27" s="13"/>
      <c r="U27" s="13"/>
      <c r="V27" s="13"/>
      <c r="W27" s="13"/>
      <c r="X27" s="13">
        <f>16+12+4</f>
        <v>32</v>
      </c>
      <c r="Y27" s="13"/>
      <c r="Z27" s="95"/>
      <c r="AA27" s="96">
        <f>SUM(S27:Y27)</f>
        <v>32</v>
      </c>
      <c r="AB27" s="97">
        <f>IF(C27=2010, AA27/3,AA27)+Z27</f>
        <v>32</v>
      </c>
    </row>
    <row r="28" spans="1:47" x14ac:dyDescent="0.25">
      <c r="A28" s="60" t="s">
        <v>657</v>
      </c>
      <c r="B28" s="65" t="s">
        <v>64</v>
      </c>
      <c r="C28" s="62">
        <v>2010</v>
      </c>
      <c r="D28" s="1">
        <f>Q28+G28+F28+H28+E28</f>
        <v>55</v>
      </c>
      <c r="E28" s="177"/>
      <c r="F28" s="50">
        <f>18</f>
        <v>18</v>
      </c>
      <c r="G28" s="50">
        <f>9</f>
        <v>9</v>
      </c>
      <c r="H28" s="120"/>
      <c r="I28" s="22"/>
      <c r="J28" s="50"/>
      <c r="K28" s="50"/>
      <c r="L28" s="50">
        <f>28</f>
        <v>28</v>
      </c>
      <c r="M28" s="50"/>
      <c r="N28" s="50"/>
      <c r="O28" s="120"/>
      <c r="P28" s="96">
        <f>SUM(J28:N28)</f>
        <v>28</v>
      </c>
      <c r="Q28" s="97">
        <f>IF(C28=2011, P28/3,P28)+O28</f>
        <v>28</v>
      </c>
      <c r="R28" s="22"/>
      <c r="Z28" s="95"/>
      <c r="AA28" s="96"/>
      <c r="AB28" s="9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s="17" customFormat="1" x14ac:dyDescent="0.25">
      <c r="A29" s="11" t="s">
        <v>322</v>
      </c>
      <c r="B29" s="60" t="s">
        <v>87</v>
      </c>
      <c r="C29" s="62">
        <v>2011</v>
      </c>
      <c r="D29" s="1">
        <f>Q29+G29+F29+H29+E29</f>
        <v>0</v>
      </c>
      <c r="E29" s="177"/>
      <c r="F29" s="50"/>
      <c r="G29" s="50"/>
      <c r="H29" s="120"/>
      <c r="I29" s="50"/>
      <c r="J29" s="50"/>
      <c r="K29" s="50"/>
      <c r="L29" s="50"/>
      <c r="M29" s="50"/>
      <c r="N29" s="50">
        <f>AB29</f>
        <v>0</v>
      </c>
      <c r="O29" s="120"/>
      <c r="P29" s="96">
        <f>SUM(J29:N29)</f>
        <v>0</v>
      </c>
      <c r="Q29" s="97">
        <f>IF(C29=2011, P29/3,P29)+O29</f>
        <v>0</v>
      </c>
      <c r="R29" s="22"/>
      <c r="S29" s="41"/>
      <c r="T29" s="41"/>
      <c r="U29" s="41"/>
      <c r="V29" s="41">
        <f>0</f>
        <v>0</v>
      </c>
      <c r="W29" s="41"/>
      <c r="X29" s="41"/>
      <c r="Y29" s="13"/>
      <c r="Z29" s="95"/>
      <c r="AA29" s="96">
        <f>SUM(S29:Y29)</f>
        <v>0</v>
      </c>
      <c r="AB29" s="97">
        <f>IF(C29=2015, AA29/3,AA29)+Z29</f>
        <v>0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 s="17" customFormat="1" x14ac:dyDescent="0.25">
      <c r="A30" s="60" t="s">
        <v>522</v>
      </c>
      <c r="B30" s="65" t="s">
        <v>87</v>
      </c>
      <c r="C30" s="62">
        <v>2008</v>
      </c>
      <c r="D30" s="1">
        <f>Q30+G30+F30+H30+E30</f>
        <v>3</v>
      </c>
      <c r="E30" s="177"/>
      <c r="F30" s="50"/>
      <c r="G30" s="50"/>
      <c r="H30" s="120"/>
      <c r="I30" s="22"/>
      <c r="J30" s="50"/>
      <c r="K30" s="50"/>
      <c r="L30" s="50"/>
      <c r="M30" s="50"/>
      <c r="N30" s="50">
        <f>AB30</f>
        <v>3</v>
      </c>
      <c r="O30" s="120"/>
      <c r="P30" s="96">
        <f>SUM(J30:N30)</f>
        <v>3</v>
      </c>
      <c r="Q30" s="97">
        <f>IF(C30=2011, P30/3,P30)+O30</f>
        <v>3</v>
      </c>
      <c r="R30" s="22"/>
      <c r="S30" s="13"/>
      <c r="T30" s="13"/>
      <c r="U30" s="13"/>
      <c r="V30" s="13"/>
      <c r="W30" s="13"/>
      <c r="X30" s="13">
        <f>0</f>
        <v>0</v>
      </c>
      <c r="Y30" s="13"/>
      <c r="Z30" s="95">
        <f>3</f>
        <v>3</v>
      </c>
      <c r="AA30" s="96">
        <f>SUM(S30:Y30)</f>
        <v>0</v>
      </c>
      <c r="AB30" s="97">
        <f>IF(C30=2010, AA30/3,AA30)+Z30</f>
        <v>3</v>
      </c>
    </row>
    <row r="31" spans="1:47" s="17" customFormat="1" x14ac:dyDescent="0.25">
      <c r="A31" s="60" t="s">
        <v>583</v>
      </c>
      <c r="B31" s="65" t="s">
        <v>64</v>
      </c>
      <c r="C31" s="62">
        <v>2010</v>
      </c>
      <c r="D31" s="1">
        <f>Q31+G31+F31+H31+E31</f>
        <v>45</v>
      </c>
      <c r="E31" s="177"/>
      <c r="F31" s="50"/>
      <c r="G31" s="50"/>
      <c r="H31" s="120"/>
      <c r="I31" s="22"/>
      <c r="J31" s="50"/>
      <c r="K31" s="50"/>
      <c r="L31" s="50">
        <f>39</f>
        <v>39</v>
      </c>
      <c r="M31" s="50">
        <f>3+3</f>
        <v>6</v>
      </c>
      <c r="N31" s="50">
        <v>0</v>
      </c>
      <c r="O31" s="120"/>
      <c r="P31" s="96">
        <f>SUM(J31:N31)</f>
        <v>45</v>
      </c>
      <c r="Q31" s="97">
        <f>IF(C31=2011, P31/3,P31)+O31</f>
        <v>45</v>
      </c>
      <c r="R31" s="22"/>
      <c r="S31" s="13"/>
      <c r="T31" s="13">
        <v>0</v>
      </c>
      <c r="U31" s="13"/>
      <c r="V31" s="13"/>
      <c r="W31" s="13"/>
      <c r="X31" s="13"/>
      <c r="Y31" s="13"/>
      <c r="Z31" s="95"/>
      <c r="AA31" s="96"/>
      <c r="AB31" s="97"/>
    </row>
    <row r="32" spans="1:47" s="17" customFormat="1" x14ac:dyDescent="0.25">
      <c r="A32" s="60" t="s">
        <v>646</v>
      </c>
      <c r="B32" s="65" t="s">
        <v>647</v>
      </c>
      <c r="C32" s="62"/>
      <c r="D32" s="1">
        <f>Q32+G32+F32+H32+E32</f>
        <v>37</v>
      </c>
      <c r="E32" s="177"/>
      <c r="F32" s="50"/>
      <c r="G32" s="50"/>
      <c r="H32" s="120"/>
      <c r="I32" s="22"/>
      <c r="J32" s="50"/>
      <c r="K32" s="50"/>
      <c r="L32" s="50">
        <f>37</f>
        <v>37</v>
      </c>
      <c r="M32" s="50"/>
      <c r="N32" s="50"/>
      <c r="O32" s="120"/>
      <c r="P32" s="96">
        <f>SUM(J32:N32)</f>
        <v>37</v>
      </c>
      <c r="Q32" s="97">
        <f>IF(C32=2011, P32/3,P32)+O32</f>
        <v>37</v>
      </c>
      <c r="R32" s="22"/>
      <c r="S32" s="13"/>
      <c r="T32" s="13"/>
      <c r="U32" s="13"/>
      <c r="V32" s="13"/>
      <c r="W32" s="13"/>
      <c r="X32" s="13"/>
      <c r="Y32" s="13"/>
      <c r="Z32" s="95"/>
      <c r="AA32" s="96"/>
      <c r="AB32" s="97"/>
    </row>
    <row r="33" spans="1:28" x14ac:dyDescent="0.25">
      <c r="A33" s="11" t="s">
        <v>660</v>
      </c>
      <c r="B33" s="83" t="s">
        <v>7</v>
      </c>
      <c r="C33" s="17">
        <v>2008</v>
      </c>
      <c r="D33" s="1">
        <f>Q33+G33+F33+H33+E33</f>
        <v>20</v>
      </c>
      <c r="E33" s="177"/>
      <c r="F33" s="50"/>
      <c r="G33" s="50"/>
      <c r="H33" s="120"/>
      <c r="I33" s="22"/>
      <c r="J33" s="50"/>
      <c r="K33" s="50"/>
      <c r="L33" s="50"/>
      <c r="M33" s="50"/>
      <c r="N33" s="50">
        <f>20</f>
        <v>20</v>
      </c>
      <c r="O33" s="120"/>
      <c r="P33" s="96">
        <f>SUM(J33:N33)</f>
        <v>20</v>
      </c>
      <c r="Q33" s="97">
        <f>IF(C33=2011, P33/3,P33)+O33</f>
        <v>20</v>
      </c>
      <c r="R33" s="22"/>
      <c r="S33" s="22"/>
      <c r="T33" s="22"/>
      <c r="U33" s="22"/>
      <c r="Z33" s="95"/>
      <c r="AA33" s="96"/>
      <c r="AB33" s="97"/>
    </row>
    <row r="34" spans="1:28" x14ac:dyDescent="0.25">
      <c r="A34" s="11" t="s">
        <v>799</v>
      </c>
      <c r="B34" s="83" t="s">
        <v>0</v>
      </c>
      <c r="C34" s="17">
        <v>2008</v>
      </c>
      <c r="D34" s="1">
        <f>Q34+G34+F34+H34+E34</f>
        <v>76</v>
      </c>
      <c r="E34" s="177">
        <f>16</f>
        <v>16</v>
      </c>
      <c r="F34" s="50">
        <f>24+6</f>
        <v>30</v>
      </c>
      <c r="G34" s="50">
        <f>24+3</f>
        <v>27</v>
      </c>
      <c r="H34" s="120">
        <f>3</f>
        <v>3</v>
      </c>
      <c r="I34" s="22"/>
      <c r="J34" s="50"/>
      <c r="K34" s="50"/>
      <c r="L34" s="50"/>
      <c r="M34" s="50"/>
      <c r="N34" s="50"/>
      <c r="O34" s="120"/>
      <c r="P34" s="96"/>
      <c r="Q34" s="97"/>
      <c r="R34" s="22"/>
      <c r="S34" s="22"/>
      <c r="T34" s="22"/>
      <c r="U34" s="22"/>
      <c r="Z34" s="95"/>
      <c r="AA34" s="96"/>
      <c r="AB34" s="97"/>
    </row>
    <row r="35" spans="1:28" s="17" customFormat="1" x14ac:dyDescent="0.25">
      <c r="A35" s="60" t="s">
        <v>576</v>
      </c>
      <c r="B35" s="65" t="s">
        <v>64</v>
      </c>
      <c r="C35" s="62">
        <v>2010</v>
      </c>
      <c r="D35" s="1">
        <f>Q35+G35+F35+H35+E35</f>
        <v>33</v>
      </c>
      <c r="E35" s="177"/>
      <c r="F35" s="50"/>
      <c r="G35" s="50"/>
      <c r="H35" s="120"/>
      <c r="I35" s="22"/>
      <c r="J35" s="50"/>
      <c r="K35" s="50"/>
      <c r="L35" s="50">
        <f>12</f>
        <v>12</v>
      </c>
      <c r="M35" s="50">
        <f>21</f>
        <v>21</v>
      </c>
      <c r="N35" s="50"/>
      <c r="O35" s="120"/>
      <c r="P35" s="96">
        <f>SUM(J35:N35)</f>
        <v>33</v>
      </c>
      <c r="Q35" s="97">
        <f>IF(C35=2011, P35/3,P35)+O35</f>
        <v>33</v>
      </c>
      <c r="R35" s="22"/>
      <c r="S35" s="13"/>
      <c r="T35" s="13"/>
      <c r="U35" s="13"/>
      <c r="V35" s="13"/>
      <c r="W35" s="13"/>
      <c r="X35" s="13"/>
      <c r="Y35" s="13"/>
      <c r="Z35" s="95"/>
      <c r="AA35" s="96"/>
      <c r="AB35" s="97"/>
    </row>
    <row r="36" spans="1:28" s="17" customFormat="1" x14ac:dyDescent="0.25">
      <c r="A36" s="11" t="s">
        <v>327</v>
      </c>
      <c r="B36" s="60" t="s">
        <v>87</v>
      </c>
      <c r="C36" s="62">
        <v>2010</v>
      </c>
      <c r="D36" s="1">
        <f>Q36+G36+F36+H36+E36</f>
        <v>0</v>
      </c>
      <c r="E36" s="177"/>
      <c r="F36" s="50"/>
      <c r="G36" s="50"/>
      <c r="H36" s="120"/>
      <c r="I36" s="22"/>
      <c r="J36" s="50"/>
      <c r="K36" s="50"/>
      <c r="L36" s="50"/>
      <c r="M36" s="50"/>
      <c r="N36" s="50">
        <f>AB36</f>
        <v>0</v>
      </c>
      <c r="O36" s="120"/>
      <c r="P36" s="96">
        <f>SUM(J36:N36)</f>
        <v>0</v>
      </c>
      <c r="Q36" s="97">
        <f>IF(C36=2011, P36/3,P36)+O36</f>
        <v>0</v>
      </c>
      <c r="R36" s="22"/>
      <c r="S36" s="41"/>
      <c r="T36" s="41"/>
      <c r="U36" s="41"/>
      <c r="V36" s="41">
        <f>0</f>
        <v>0</v>
      </c>
      <c r="W36" s="41"/>
      <c r="X36" s="41"/>
      <c r="Y36" s="13"/>
      <c r="Z36" s="95"/>
      <c r="AA36" s="96">
        <f>SUM(S36:Y36)</f>
        <v>0</v>
      </c>
      <c r="AB36" s="97">
        <f>IF(C36=2010, AA36/3,AA36)+Z36</f>
        <v>0</v>
      </c>
    </row>
    <row r="37" spans="1:28" x14ac:dyDescent="0.25">
      <c r="A37" s="11" t="s">
        <v>673</v>
      </c>
      <c r="B37" s="11" t="s">
        <v>637</v>
      </c>
      <c r="C37" s="3">
        <v>2009</v>
      </c>
      <c r="D37" s="1">
        <f>Q37+G37+F37+H37+E37</f>
        <v>165</v>
      </c>
      <c r="E37" s="177"/>
      <c r="F37" s="50">
        <f>0+15</f>
        <v>15</v>
      </c>
      <c r="G37" s="50"/>
      <c r="H37" s="120"/>
      <c r="I37" s="22"/>
      <c r="J37" s="50"/>
      <c r="K37" s="50"/>
      <c r="L37" s="50">
        <f>39+63</f>
        <v>102</v>
      </c>
      <c r="M37" s="50"/>
      <c r="N37" s="50">
        <f>48</f>
        <v>48</v>
      </c>
      <c r="O37" s="120"/>
      <c r="P37" s="96">
        <f>SUM(J37:N37)</f>
        <v>150</v>
      </c>
      <c r="Q37" s="97">
        <f>IF(C37=2011, P37/3,P37)+O37</f>
        <v>150</v>
      </c>
      <c r="R37" s="22"/>
      <c r="Z37" s="95"/>
      <c r="AA37" s="96"/>
      <c r="AB37" s="97"/>
    </row>
    <row r="38" spans="1:28" x14ac:dyDescent="0.25">
      <c r="A38" s="60" t="s">
        <v>518</v>
      </c>
      <c r="B38" s="65" t="s">
        <v>87</v>
      </c>
      <c r="C38" s="62">
        <v>2009</v>
      </c>
      <c r="D38" s="1">
        <f>Q38+G38+F38+H38+E38</f>
        <v>42</v>
      </c>
      <c r="E38" s="177"/>
      <c r="F38" s="50"/>
      <c r="G38" s="50"/>
      <c r="H38" s="120"/>
      <c r="I38" s="22"/>
      <c r="J38" s="50"/>
      <c r="K38" s="50"/>
      <c r="L38" s="50"/>
      <c r="M38" s="50"/>
      <c r="N38" s="50">
        <f>AB38</f>
        <v>42</v>
      </c>
      <c r="O38" s="120"/>
      <c r="P38" s="96">
        <f>SUM(J38:N38)</f>
        <v>42</v>
      </c>
      <c r="Q38" s="97">
        <f>IF(C38=2011, P38/3,P38)+O38</f>
        <v>42</v>
      </c>
      <c r="R38" s="22"/>
      <c r="X38" s="13">
        <f>39</f>
        <v>39</v>
      </c>
      <c r="Z38" s="95">
        <f>3</f>
        <v>3</v>
      </c>
      <c r="AA38" s="96">
        <f>SUM(S38:Y38)</f>
        <v>39</v>
      </c>
      <c r="AB38" s="97">
        <f>IF(C38=2010, AA38/3,AA38)+Z38</f>
        <v>42</v>
      </c>
    </row>
    <row r="39" spans="1:28" x14ac:dyDescent="0.25">
      <c r="A39" s="11" t="s">
        <v>123</v>
      </c>
      <c r="B39" s="60" t="s">
        <v>87</v>
      </c>
      <c r="C39" s="62">
        <v>2011</v>
      </c>
      <c r="D39" s="1">
        <f>Q39+G39+F39+H39+E39</f>
        <v>24.666666666666668</v>
      </c>
      <c r="E39" s="177"/>
      <c r="F39" s="50"/>
      <c r="G39" s="50"/>
      <c r="H39" s="120"/>
      <c r="I39" s="50"/>
      <c r="J39" s="50"/>
      <c r="K39" s="50"/>
      <c r="L39" s="50"/>
      <c r="M39" s="50"/>
      <c r="N39" s="50">
        <f>AB39</f>
        <v>74</v>
      </c>
      <c r="O39" s="120"/>
      <c r="P39" s="96">
        <f>SUM(J39:N39)</f>
        <v>74</v>
      </c>
      <c r="Q39" s="97">
        <f>IF(C39=2011, P39/3,P39)+O39</f>
        <v>24.666666666666668</v>
      </c>
      <c r="R39" s="22"/>
      <c r="S39" s="41"/>
      <c r="T39" s="41">
        <f>27+1</f>
        <v>28</v>
      </c>
      <c r="U39" s="41"/>
      <c r="V39" s="41">
        <f>45+1</f>
        <v>46</v>
      </c>
      <c r="W39" s="41"/>
      <c r="X39" s="41"/>
      <c r="Z39" s="95"/>
      <c r="AA39" s="96">
        <f>SUM(S39:Y39)</f>
        <v>74</v>
      </c>
      <c r="AB39" s="97">
        <f>IF(C39=2015, AA39/3,AA39)+Z39</f>
        <v>74</v>
      </c>
    </row>
    <row r="40" spans="1:28" x14ac:dyDescent="0.25">
      <c r="A40" s="60" t="s">
        <v>275</v>
      </c>
      <c r="B40" s="65" t="s">
        <v>36</v>
      </c>
      <c r="C40" s="62">
        <v>2008</v>
      </c>
      <c r="D40" s="1">
        <f>Q40+G40+F40+H40+E40</f>
        <v>169</v>
      </c>
      <c r="E40" s="177"/>
      <c r="F40" s="50"/>
      <c r="G40" s="50"/>
      <c r="H40" s="120"/>
      <c r="I40" s="22"/>
      <c r="J40" s="50"/>
      <c r="K40" s="50">
        <f>32+15</f>
        <v>47</v>
      </c>
      <c r="L40" s="50">
        <f>42+16</f>
        <v>58</v>
      </c>
      <c r="M40" s="50">
        <f>27+9</f>
        <v>36</v>
      </c>
      <c r="N40" s="50">
        <f>AB40</f>
        <v>28</v>
      </c>
      <c r="O40" s="120"/>
      <c r="P40" s="96">
        <f>SUM(J40:N40)</f>
        <v>169</v>
      </c>
      <c r="Q40" s="97">
        <f>IF(C40=2011, P40/3,P40)+O40</f>
        <v>169</v>
      </c>
      <c r="R40" s="22"/>
      <c r="U40" s="13">
        <f>0</f>
        <v>0</v>
      </c>
      <c r="X40" s="13">
        <f>12+12+4</f>
        <v>28</v>
      </c>
      <c r="Z40" s="95"/>
      <c r="AA40" s="96">
        <f>SUM(S40:Y40)</f>
        <v>28</v>
      </c>
      <c r="AB40" s="97">
        <f>IF(C40=2010, AA40/3,AA40)+Z40</f>
        <v>28</v>
      </c>
    </row>
    <row r="41" spans="1:28" x14ac:dyDescent="0.25">
      <c r="A41" s="11" t="s">
        <v>118</v>
      </c>
      <c r="B41" s="60" t="s">
        <v>87</v>
      </c>
      <c r="C41" s="62">
        <v>2010</v>
      </c>
      <c r="D41" s="1">
        <f>Q41+G41+F41+H41+E41</f>
        <v>22</v>
      </c>
      <c r="E41" s="177"/>
      <c r="F41" s="50"/>
      <c r="G41" s="50"/>
      <c r="H41" s="120"/>
      <c r="I41" s="22"/>
      <c r="J41" s="50"/>
      <c r="K41" s="50"/>
      <c r="L41" s="50"/>
      <c r="M41" s="50"/>
      <c r="N41" s="50">
        <f>AB41</f>
        <v>22</v>
      </c>
      <c r="O41" s="120"/>
      <c r="P41" s="96">
        <f>SUM(J41:N41)</f>
        <v>22</v>
      </c>
      <c r="Q41" s="97">
        <f>IF(C41=2011, P41/3,P41)+O41</f>
        <v>22</v>
      </c>
      <c r="R41" s="22"/>
      <c r="S41" s="41"/>
      <c r="T41" s="41">
        <f>36+1</f>
        <v>37</v>
      </c>
      <c r="U41" s="41"/>
      <c r="V41" s="41">
        <f>28+1</f>
        <v>29</v>
      </c>
      <c r="W41" s="41"/>
      <c r="X41" s="41"/>
      <c r="Z41" s="95"/>
      <c r="AA41" s="96">
        <f>SUM(S41:Y41)</f>
        <v>66</v>
      </c>
      <c r="AB41" s="97">
        <f>IF(C41=2010, AA41/3,AA41)+Z41</f>
        <v>22</v>
      </c>
    </row>
    <row r="42" spans="1:28" x14ac:dyDescent="0.25">
      <c r="A42" s="71" t="s">
        <v>281</v>
      </c>
      <c r="B42" s="19" t="s">
        <v>233</v>
      </c>
      <c r="C42" s="72">
        <v>2009</v>
      </c>
      <c r="D42" s="1">
        <f>Q42+G42+F42+H42+E42</f>
        <v>42</v>
      </c>
      <c r="E42" s="177"/>
      <c r="F42" s="50"/>
      <c r="G42" s="50"/>
      <c r="H42" s="120"/>
      <c r="I42" s="22"/>
      <c r="J42" s="50"/>
      <c r="K42" s="50"/>
      <c r="L42" s="50">
        <f>4</f>
        <v>4</v>
      </c>
      <c r="M42" s="50">
        <f>12</f>
        <v>12</v>
      </c>
      <c r="N42" s="50">
        <f>AB42</f>
        <v>26</v>
      </c>
      <c r="O42" s="120"/>
      <c r="P42" s="96">
        <f>SUM(J42:N42)</f>
        <v>42</v>
      </c>
      <c r="Q42" s="97">
        <f>IF(C42=2011, P42/3,P42)+O42</f>
        <v>42</v>
      </c>
      <c r="R42" s="22"/>
      <c r="U42" s="13">
        <v>6</v>
      </c>
      <c r="X42" s="13">
        <f>20</f>
        <v>20</v>
      </c>
      <c r="Z42" s="95"/>
      <c r="AA42" s="96">
        <f>SUM(S42:Y42)</f>
        <v>26</v>
      </c>
      <c r="AB42" s="97">
        <f>IF(C42=2010, AA42/3,AA42)+Z42</f>
        <v>26</v>
      </c>
    </row>
    <row r="43" spans="1:28" x14ac:dyDescent="0.25">
      <c r="A43" s="71" t="s">
        <v>439</v>
      </c>
      <c r="B43" s="19" t="s">
        <v>112</v>
      </c>
      <c r="C43" s="72">
        <v>2009</v>
      </c>
      <c r="D43" s="1">
        <f>Q43+G43+F43+H43+E43</f>
        <v>189</v>
      </c>
      <c r="E43" s="177"/>
      <c r="F43" s="50"/>
      <c r="G43" s="50"/>
      <c r="H43" s="120"/>
      <c r="I43" s="22"/>
      <c r="J43" s="50"/>
      <c r="K43" s="50">
        <f>16</f>
        <v>16</v>
      </c>
      <c r="L43" s="50">
        <f>34+8</f>
        <v>42</v>
      </c>
      <c r="M43" s="50">
        <f>26+6</f>
        <v>32</v>
      </c>
      <c r="N43" s="50">
        <f>AB43</f>
        <v>99</v>
      </c>
      <c r="O43" s="120"/>
      <c r="P43" s="96">
        <f>SUM(J43:N43)</f>
        <v>189</v>
      </c>
      <c r="Q43" s="97">
        <f>IF(C43=2011, P43/3,P43)+O43</f>
        <v>189</v>
      </c>
      <c r="R43" s="22"/>
      <c r="T43" s="13">
        <f>24</f>
        <v>24</v>
      </c>
      <c r="V43" s="13">
        <f>36</f>
        <v>36</v>
      </c>
      <c r="W43" s="13">
        <f>11+6</f>
        <v>17</v>
      </c>
      <c r="X43" s="13">
        <f>19+3</f>
        <v>22</v>
      </c>
      <c r="Z43" s="95"/>
      <c r="AA43" s="96">
        <f>SUM(S43:Y43)</f>
        <v>99</v>
      </c>
      <c r="AB43" s="97">
        <f>IF(C43=2010, AA43/3,AA43)+Z43</f>
        <v>99</v>
      </c>
    </row>
    <row r="44" spans="1:28" x14ac:dyDescent="0.25">
      <c r="A44" s="71" t="s">
        <v>520</v>
      </c>
      <c r="B44" s="19" t="s">
        <v>87</v>
      </c>
      <c r="C44" s="72">
        <v>2008</v>
      </c>
      <c r="D44" s="1">
        <f>Q44+G44+F44+H44+E44</f>
        <v>30</v>
      </c>
      <c r="E44" s="177"/>
      <c r="F44" s="50"/>
      <c r="G44" s="50"/>
      <c r="H44" s="120"/>
      <c r="I44" s="22"/>
      <c r="J44" s="50"/>
      <c r="K44" s="50"/>
      <c r="L44" s="50"/>
      <c r="M44" s="50"/>
      <c r="N44" s="50">
        <f>AB44</f>
        <v>30</v>
      </c>
      <c r="O44" s="120"/>
      <c r="P44" s="96">
        <f>SUM(J44:N44)</f>
        <v>30</v>
      </c>
      <c r="Q44" s="97">
        <f>IF(C44=2011, P44/3,P44)+O44</f>
        <v>30</v>
      </c>
      <c r="R44" s="22"/>
      <c r="X44" s="13">
        <f>0</f>
        <v>0</v>
      </c>
      <c r="Y44" s="13">
        <f>27</f>
        <v>27</v>
      </c>
      <c r="Z44" s="95">
        <f>3</f>
        <v>3</v>
      </c>
      <c r="AA44" s="96">
        <f>SUM(S44:Y44)</f>
        <v>27</v>
      </c>
      <c r="AB44" s="97">
        <f>IF(C44=2010, AA44/3,AA44)+Z44</f>
        <v>30</v>
      </c>
    </row>
    <row r="45" spans="1:28" x14ac:dyDescent="0.25">
      <c r="A45" s="11" t="s">
        <v>276</v>
      </c>
      <c r="B45" s="19" t="s">
        <v>233</v>
      </c>
      <c r="C45" s="3">
        <v>2008</v>
      </c>
      <c r="D45" s="1">
        <f>Q45+G45+F45+H45+E45</f>
        <v>91</v>
      </c>
      <c r="E45" s="177"/>
      <c r="F45" s="50"/>
      <c r="G45" s="50"/>
      <c r="H45" s="120"/>
      <c r="I45" s="22"/>
      <c r="J45" s="50"/>
      <c r="K45" s="50"/>
      <c r="L45" s="50"/>
      <c r="M45" s="50"/>
      <c r="N45" s="50">
        <f>AB45</f>
        <v>91</v>
      </c>
      <c r="O45" s="120"/>
      <c r="P45" s="96">
        <f>SUM(J45:N45)</f>
        <v>91</v>
      </c>
      <c r="Q45" s="97">
        <f>IF(C45=2011, P45/3,P45)+O45</f>
        <v>91</v>
      </c>
      <c r="R45" s="22"/>
      <c r="U45" s="13">
        <f>24</f>
        <v>24</v>
      </c>
      <c r="Y45" s="13">
        <f>67</f>
        <v>67</v>
      </c>
      <c r="Z45" s="95"/>
      <c r="AA45" s="96">
        <f>SUM(S45:Y45)</f>
        <v>91</v>
      </c>
      <c r="AB45" s="97">
        <f>IF(C45=2010, AA45/3,AA45)+Z45</f>
        <v>91</v>
      </c>
    </row>
    <row r="46" spans="1:28" x14ac:dyDescent="0.25">
      <c r="A46" s="77" t="s">
        <v>278</v>
      </c>
      <c r="B46" s="87" t="s">
        <v>233</v>
      </c>
      <c r="C46" s="3">
        <v>2008</v>
      </c>
      <c r="D46" s="1">
        <f>Q46+G46+F46+H46+E46</f>
        <v>18</v>
      </c>
      <c r="E46" s="177"/>
      <c r="F46" s="50"/>
      <c r="G46" s="50"/>
      <c r="H46" s="120"/>
      <c r="I46" s="22"/>
      <c r="J46" s="50"/>
      <c r="K46" s="50"/>
      <c r="L46" s="50"/>
      <c r="M46" s="50"/>
      <c r="N46" s="50">
        <f>AB46</f>
        <v>18</v>
      </c>
      <c r="O46" s="120"/>
      <c r="P46" s="96">
        <f>SUM(J46:N46)</f>
        <v>18</v>
      </c>
      <c r="Q46" s="97">
        <f>IF(C46=2011, P46/3,P46)+O46</f>
        <v>18</v>
      </c>
      <c r="R46" s="22"/>
      <c r="U46" s="13">
        <f>18</f>
        <v>18</v>
      </c>
      <c r="Z46" s="95"/>
      <c r="AA46" s="96">
        <f>SUM(S46:Y46)</f>
        <v>18</v>
      </c>
      <c r="AB46" s="97">
        <f>IF(C46=2010, AA46/3,AA46)+Z46</f>
        <v>18</v>
      </c>
    </row>
    <row r="47" spans="1:28" s="52" customFormat="1" x14ac:dyDescent="0.25">
      <c r="A47" s="77" t="s">
        <v>364</v>
      </c>
      <c r="B47" s="87" t="s">
        <v>7</v>
      </c>
      <c r="C47" s="3">
        <v>2009</v>
      </c>
      <c r="D47" s="1">
        <f>Q47+G47+F47+H47+E47</f>
        <v>45</v>
      </c>
      <c r="E47" s="177"/>
      <c r="F47" s="50"/>
      <c r="G47" s="50"/>
      <c r="H47" s="120"/>
      <c r="I47" s="22"/>
      <c r="J47" s="50"/>
      <c r="K47" s="50"/>
      <c r="L47" s="50">
        <f>39</f>
        <v>39</v>
      </c>
      <c r="M47" s="50"/>
      <c r="N47" s="50">
        <f>AB47</f>
        <v>6</v>
      </c>
      <c r="O47" s="120"/>
      <c r="P47" s="96">
        <f>SUM(J47:N47)</f>
        <v>45</v>
      </c>
      <c r="Q47" s="97">
        <f>IF(C47=2011, P47/3,P47)+O47</f>
        <v>45</v>
      </c>
      <c r="R47" s="22"/>
      <c r="S47" s="13"/>
      <c r="T47" s="13"/>
      <c r="U47" s="13"/>
      <c r="V47" s="13">
        <f>0+6</f>
        <v>6</v>
      </c>
      <c r="W47" s="13"/>
      <c r="X47" s="13">
        <f>0</f>
        <v>0</v>
      </c>
      <c r="Y47" s="13"/>
      <c r="Z47" s="95"/>
      <c r="AA47" s="96">
        <f>SUM(S47:Y47)</f>
        <v>6</v>
      </c>
      <c r="AB47" s="97">
        <f>IF(C47=2010, AA47/3,AA47)+Z47</f>
        <v>6</v>
      </c>
    </row>
    <row r="48" spans="1:28" x14ac:dyDescent="0.25">
      <c r="A48" s="11" t="s">
        <v>810</v>
      </c>
      <c r="B48" s="60" t="s">
        <v>590</v>
      </c>
      <c r="C48" s="62">
        <v>2011</v>
      </c>
      <c r="D48" s="1">
        <f>Q48+G48+F48+H48+E48</f>
        <v>6</v>
      </c>
      <c r="E48" s="177"/>
      <c r="F48" s="50"/>
      <c r="G48" s="50">
        <f>3</f>
        <v>3</v>
      </c>
      <c r="H48" s="120"/>
      <c r="I48" s="50"/>
      <c r="J48" s="50"/>
      <c r="K48" s="50"/>
      <c r="L48" s="50"/>
      <c r="M48" s="50">
        <f>0</f>
        <v>0</v>
      </c>
      <c r="N48" s="50"/>
      <c r="O48" s="120">
        <f>3</f>
        <v>3</v>
      </c>
      <c r="P48" s="96">
        <f>SUM(J48:N48)</f>
        <v>0</v>
      </c>
      <c r="Q48" s="97">
        <f>IF(C48=2011, P48/3,P48)+O48</f>
        <v>3</v>
      </c>
      <c r="R48" s="22"/>
      <c r="S48" s="41"/>
      <c r="T48" s="41"/>
      <c r="U48" s="41"/>
      <c r="V48" s="41"/>
      <c r="W48" s="41"/>
      <c r="X48" s="41"/>
      <c r="Z48" s="95"/>
      <c r="AA48" s="96"/>
      <c r="AB48" s="97"/>
    </row>
    <row r="49" spans="1:47" s="52" customFormat="1" x14ac:dyDescent="0.25">
      <c r="A49" s="77" t="s">
        <v>662</v>
      </c>
      <c r="B49" s="87" t="s">
        <v>64</v>
      </c>
      <c r="C49" s="3"/>
      <c r="D49" s="1">
        <f>Q49+G49+F49+H49+E49</f>
        <v>0</v>
      </c>
      <c r="E49" s="177"/>
      <c r="F49" s="50"/>
      <c r="G49" s="50"/>
      <c r="H49" s="120"/>
      <c r="I49" s="22"/>
      <c r="J49" s="50"/>
      <c r="K49" s="50"/>
      <c r="L49" s="50">
        <f>0</f>
        <v>0</v>
      </c>
      <c r="M49" s="50"/>
      <c r="N49" s="50"/>
      <c r="O49" s="120"/>
      <c r="P49" s="96">
        <f>SUM(J49:N49)</f>
        <v>0</v>
      </c>
      <c r="Q49" s="97">
        <f>IF(C49=2011, P49/3,P49)+O49</f>
        <v>0</v>
      </c>
      <c r="R49" s="22"/>
      <c r="S49" s="13"/>
      <c r="T49" s="13"/>
      <c r="U49" s="13"/>
      <c r="V49" s="13"/>
      <c r="W49" s="13"/>
      <c r="X49" s="13"/>
      <c r="Y49" s="13"/>
      <c r="Z49" s="95"/>
      <c r="AA49" s="96"/>
      <c r="AB49" s="97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 x14ac:dyDescent="0.25">
      <c r="A50" s="77" t="s">
        <v>655</v>
      </c>
      <c r="B50" s="87" t="s">
        <v>482</v>
      </c>
      <c r="D50" s="1">
        <f>Q50+G50+F50+H50+E50</f>
        <v>0</v>
      </c>
      <c r="E50" s="177"/>
      <c r="F50" s="50"/>
      <c r="G50" s="50"/>
      <c r="H50" s="120"/>
      <c r="I50" s="22"/>
      <c r="J50" s="50"/>
      <c r="K50" s="50"/>
      <c r="L50" s="50">
        <f>0</f>
        <v>0</v>
      </c>
      <c r="M50" s="50"/>
      <c r="N50" s="50"/>
      <c r="O50" s="120"/>
      <c r="P50" s="96">
        <f>SUM(J50:N50)</f>
        <v>0</v>
      </c>
      <c r="Q50" s="97">
        <f>IF(C50=2011, P50/3,P50)+O50</f>
        <v>0</v>
      </c>
      <c r="R50" s="22"/>
      <c r="Z50" s="95"/>
      <c r="AA50" s="96"/>
      <c r="AB50" s="97"/>
    </row>
    <row r="51" spans="1:47" x14ac:dyDescent="0.25">
      <c r="A51" s="77" t="s">
        <v>510</v>
      </c>
      <c r="B51" s="87" t="s">
        <v>112</v>
      </c>
      <c r="C51" s="3">
        <v>2009</v>
      </c>
      <c r="D51" s="1">
        <f>Q51+G51+F51+H51+E51</f>
        <v>33</v>
      </c>
      <c r="E51" s="177"/>
      <c r="F51" s="50"/>
      <c r="G51" s="50"/>
      <c r="H51" s="120"/>
      <c r="I51" s="22"/>
      <c r="J51" s="50"/>
      <c r="K51" s="50">
        <f>11+21</f>
        <v>32</v>
      </c>
      <c r="L51" s="50">
        <f>0</f>
        <v>0</v>
      </c>
      <c r="M51" s="50">
        <f>0</f>
        <v>0</v>
      </c>
      <c r="N51" s="50">
        <f>AB51</f>
        <v>1</v>
      </c>
      <c r="O51" s="120"/>
      <c r="P51" s="96">
        <f>SUM(J51:N51)</f>
        <v>33</v>
      </c>
      <c r="Q51" s="97">
        <f>IF(C51=2011, P51/3,P51)+O51</f>
        <v>33</v>
      </c>
      <c r="R51" s="22"/>
      <c r="X51" s="13">
        <f>1</f>
        <v>1</v>
      </c>
      <c r="Z51" s="95"/>
      <c r="AA51" s="96">
        <f>SUM(S51:Y51)</f>
        <v>1</v>
      </c>
      <c r="AB51" s="97">
        <f>IF(C51=2010, AA51/3,AA51)+Z51</f>
        <v>1</v>
      </c>
    </row>
    <row r="52" spans="1:47" x14ac:dyDescent="0.25">
      <c r="A52" s="60" t="s">
        <v>175</v>
      </c>
      <c r="B52" s="65" t="s">
        <v>87</v>
      </c>
      <c r="C52" s="62">
        <v>2008</v>
      </c>
      <c r="D52" s="1">
        <f>Q52+G52+F52+H52+E52</f>
        <v>114</v>
      </c>
      <c r="E52" s="177"/>
      <c r="F52" s="50"/>
      <c r="G52" s="50"/>
      <c r="H52" s="120"/>
      <c r="I52" s="22"/>
      <c r="J52" s="50"/>
      <c r="K52" s="50"/>
      <c r="L52" s="50"/>
      <c r="M52" s="50"/>
      <c r="N52" s="50">
        <f>AB52</f>
        <v>114</v>
      </c>
      <c r="O52" s="120"/>
      <c r="P52" s="96">
        <f>SUM(J52:N52)</f>
        <v>114</v>
      </c>
      <c r="Q52" s="97">
        <f>IF(C52=2011, P52/3,P52)+O52</f>
        <v>114</v>
      </c>
      <c r="R52" s="22"/>
      <c r="T52" s="13">
        <v>42</v>
      </c>
      <c r="X52" s="13">
        <f>66</f>
        <v>66</v>
      </c>
      <c r="Y52" s="13">
        <f>3</f>
        <v>3</v>
      </c>
      <c r="Z52" s="95">
        <f>3</f>
        <v>3</v>
      </c>
      <c r="AA52" s="96">
        <f>SUM(S52:Y52)</f>
        <v>111</v>
      </c>
      <c r="AB52" s="97">
        <f>IF(C52=2010, AA52/3,AA52)+Z52</f>
        <v>114</v>
      </c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</row>
    <row r="53" spans="1:47" x14ac:dyDescent="0.25">
      <c r="A53" s="60" t="s">
        <v>171</v>
      </c>
      <c r="B53" s="65" t="s">
        <v>87</v>
      </c>
      <c r="C53" s="62">
        <v>2009</v>
      </c>
      <c r="D53" s="1">
        <f>Q53+G53+F53+H53+E53</f>
        <v>239</v>
      </c>
      <c r="E53" s="177"/>
      <c r="F53" s="50"/>
      <c r="G53" s="50"/>
      <c r="H53" s="120"/>
      <c r="I53" s="22"/>
      <c r="J53" s="50"/>
      <c r="K53" s="50"/>
      <c r="L53" s="50"/>
      <c r="M53" s="50"/>
      <c r="N53" s="50">
        <f>AB53</f>
        <v>239</v>
      </c>
      <c r="O53" s="120"/>
      <c r="P53" s="96">
        <f>SUM(J53:N53)</f>
        <v>239</v>
      </c>
      <c r="Q53" s="97">
        <f>IF(C53=2011, P53/3,P53)+O53</f>
        <v>239</v>
      </c>
      <c r="R53" s="22"/>
      <c r="T53" s="13">
        <v>63</v>
      </c>
      <c r="V53" s="13">
        <f>42</f>
        <v>42</v>
      </c>
      <c r="X53" s="13">
        <f>84</f>
        <v>84</v>
      </c>
      <c r="Y53" s="13">
        <f>47</f>
        <v>47</v>
      </c>
      <c r="Z53" s="95">
        <f>3</f>
        <v>3</v>
      </c>
      <c r="AA53" s="96">
        <f>SUM(S53:Y53)</f>
        <v>236</v>
      </c>
      <c r="AB53" s="97">
        <f>IF(C53=2010, AA53/3,AA53)+Z53</f>
        <v>239</v>
      </c>
    </row>
    <row r="54" spans="1:47" x14ac:dyDescent="0.25">
      <c r="A54" s="77" t="s">
        <v>600</v>
      </c>
      <c r="B54" s="87" t="s">
        <v>590</v>
      </c>
      <c r="C54" s="3">
        <v>2009</v>
      </c>
      <c r="D54" s="1">
        <f>Q54+G54+F54+H54+E54</f>
        <v>6</v>
      </c>
      <c r="E54" s="177"/>
      <c r="F54" s="50"/>
      <c r="G54" s="50">
        <f>3</f>
        <v>3</v>
      </c>
      <c r="H54" s="120"/>
      <c r="I54" s="22"/>
      <c r="J54" s="50"/>
      <c r="K54" s="50"/>
      <c r="L54" s="50"/>
      <c r="M54" s="50">
        <f>3</f>
        <v>3</v>
      </c>
      <c r="N54" s="50"/>
      <c r="O54" s="120"/>
      <c r="P54" s="96">
        <f>SUM(J54:N54)</f>
        <v>3</v>
      </c>
      <c r="Q54" s="97">
        <f>IF(C54=2011, P54/3,P54)+O54</f>
        <v>3</v>
      </c>
      <c r="R54" s="22"/>
      <c r="Z54" s="95"/>
      <c r="AA54" s="96"/>
      <c r="AB54" s="97"/>
    </row>
    <row r="55" spans="1:47" x14ac:dyDescent="0.25">
      <c r="A55" s="11" t="s">
        <v>239</v>
      </c>
      <c r="B55" s="60" t="s">
        <v>0</v>
      </c>
      <c r="C55" s="3">
        <v>2011</v>
      </c>
      <c r="D55" s="1">
        <f>Q55+G55+F55+H55+E55</f>
        <v>160</v>
      </c>
      <c r="E55" s="177"/>
      <c r="F55" s="50"/>
      <c r="G55" s="50"/>
      <c r="H55" s="120"/>
      <c r="I55" s="50"/>
      <c r="J55" s="50">
        <f>9</f>
        <v>9</v>
      </c>
      <c r="K55" s="50">
        <f>30+30</f>
        <v>60</v>
      </c>
      <c r="L55" s="50">
        <f>90</f>
        <v>90</v>
      </c>
      <c r="M55" s="50">
        <f>24+21+3</f>
        <v>48</v>
      </c>
      <c r="N55" s="50">
        <f>AB55</f>
        <v>273</v>
      </c>
      <c r="O55" s="120"/>
      <c r="P55" s="96">
        <f>SUM(J55:N55)</f>
        <v>480</v>
      </c>
      <c r="Q55" s="97">
        <f>IF(C55=2011, P55/3,P55)+O55</f>
        <v>160</v>
      </c>
      <c r="R55" s="22"/>
      <c r="S55" s="41"/>
      <c r="T55" s="41"/>
      <c r="U55" s="41">
        <f>60+9</f>
        <v>69</v>
      </c>
      <c r="V55" s="41">
        <f>57+12</f>
        <v>69</v>
      </c>
      <c r="W55" s="41">
        <f>6+27</f>
        <v>33</v>
      </c>
      <c r="X55" s="41">
        <f>18+15+3</f>
        <v>36</v>
      </c>
      <c r="Y55" s="13">
        <f>66</f>
        <v>66</v>
      </c>
      <c r="Z55" s="95"/>
      <c r="AA55" s="96">
        <f>SUM(S55:Y55)</f>
        <v>273</v>
      </c>
      <c r="AB55" s="97">
        <f>IF(C55=2015, AA55/3,AA55)+Z55</f>
        <v>273</v>
      </c>
    </row>
    <row r="56" spans="1:47" x14ac:dyDescent="0.25">
      <c r="A56" s="60" t="s">
        <v>542</v>
      </c>
      <c r="B56" s="65" t="s">
        <v>535</v>
      </c>
      <c r="C56" s="62">
        <v>2009</v>
      </c>
      <c r="D56" s="1">
        <f>Q56+G56+F56+H56+E56</f>
        <v>81</v>
      </c>
      <c r="E56" s="177"/>
      <c r="F56" s="50"/>
      <c r="G56" s="50"/>
      <c r="H56" s="120"/>
      <c r="I56" s="22"/>
      <c r="J56" s="50"/>
      <c r="K56" s="50">
        <f>38</f>
        <v>38</v>
      </c>
      <c r="L56" s="50"/>
      <c r="M56" s="50"/>
      <c r="N56" s="50">
        <f>AB56</f>
        <v>43</v>
      </c>
      <c r="O56" s="120"/>
      <c r="P56" s="96">
        <f>SUM(J56:N56)</f>
        <v>81</v>
      </c>
      <c r="Q56" s="97">
        <f>IF(C56=2011, P56/3,P56)+O56</f>
        <v>81</v>
      </c>
      <c r="R56" s="22"/>
      <c r="X56" s="13">
        <f>0</f>
        <v>0</v>
      </c>
      <c r="Y56" s="13">
        <f>43</f>
        <v>43</v>
      </c>
      <c r="Z56" s="95"/>
      <c r="AA56" s="96">
        <f>SUM(S56:Y56)</f>
        <v>43</v>
      </c>
      <c r="AB56" s="97">
        <f>IF(C56=2010, AA56/3,AA56)+Z56</f>
        <v>43</v>
      </c>
    </row>
    <row r="57" spans="1:47" s="52" customFormat="1" x14ac:dyDescent="0.25">
      <c r="A57" s="60" t="s">
        <v>227</v>
      </c>
      <c r="B57" s="65" t="s">
        <v>88</v>
      </c>
      <c r="C57" s="62">
        <v>2008</v>
      </c>
      <c r="D57" s="1">
        <f>Q57+G57+F57+H57+E57</f>
        <v>6</v>
      </c>
      <c r="E57" s="177"/>
      <c r="F57" s="50"/>
      <c r="G57" s="50"/>
      <c r="H57" s="120"/>
      <c r="I57" s="22"/>
      <c r="J57" s="50"/>
      <c r="K57" s="50"/>
      <c r="L57" s="50"/>
      <c r="M57" s="50"/>
      <c r="N57" s="50">
        <f>AB57</f>
        <v>6</v>
      </c>
      <c r="O57" s="120"/>
      <c r="P57" s="96">
        <f>SUM(J57:N57)</f>
        <v>6</v>
      </c>
      <c r="Q57" s="97">
        <f>IF(C57=2011, P57/3,P57)+O57</f>
        <v>6</v>
      </c>
      <c r="R57" s="22"/>
      <c r="S57" s="13"/>
      <c r="T57" s="13">
        <f>6</f>
        <v>6</v>
      </c>
      <c r="U57" s="13"/>
      <c r="V57" s="13"/>
      <c r="W57" s="13"/>
      <c r="X57" s="13"/>
      <c r="Y57" s="13"/>
      <c r="Z57" s="95"/>
      <c r="AA57" s="96">
        <f>SUM(S57:Y57)</f>
        <v>6</v>
      </c>
      <c r="AB57" s="97">
        <f>IF(C57=2010, AA57/3,AA57)+Z57</f>
        <v>6</v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x14ac:dyDescent="0.25">
      <c r="A58" s="11" t="s">
        <v>495</v>
      </c>
      <c r="B58" s="60" t="s">
        <v>494</v>
      </c>
      <c r="C58" s="62">
        <v>2011</v>
      </c>
      <c r="D58" s="1">
        <f>Q58+G58+F58+H58+E58</f>
        <v>136</v>
      </c>
      <c r="E58" s="177">
        <f>9</f>
        <v>9</v>
      </c>
      <c r="F58" s="50">
        <f>60</f>
        <v>60</v>
      </c>
      <c r="G58" s="50"/>
      <c r="H58" s="120"/>
      <c r="I58" s="50"/>
      <c r="J58" s="50"/>
      <c r="K58" s="50">
        <f>75</f>
        <v>75</v>
      </c>
      <c r="L58" s="50"/>
      <c r="M58" s="50"/>
      <c r="N58" s="50">
        <f>AB58</f>
        <v>81</v>
      </c>
      <c r="O58" s="120">
        <f>15</f>
        <v>15</v>
      </c>
      <c r="P58" s="96">
        <f>SUM(J58:N58)</f>
        <v>156</v>
      </c>
      <c r="Q58" s="97">
        <f>IF(C58=2011, P58/3,P58)+O58</f>
        <v>67</v>
      </c>
      <c r="R58" s="22"/>
      <c r="S58" s="41"/>
      <c r="T58" s="41"/>
      <c r="U58" s="41"/>
      <c r="V58" s="41"/>
      <c r="W58" s="41"/>
      <c r="X58" s="41">
        <f>81</f>
        <v>81</v>
      </c>
      <c r="Z58" s="95"/>
      <c r="AA58" s="96">
        <f>SUM(S58:Y58)</f>
        <v>81</v>
      </c>
      <c r="AB58" s="97">
        <f>IF(C58=2015, AA58/3,AA58)+Z58</f>
        <v>81</v>
      </c>
    </row>
    <row r="59" spans="1:47" x14ac:dyDescent="0.25">
      <c r="A59" s="77" t="s">
        <v>676</v>
      </c>
      <c r="B59" s="87" t="s">
        <v>482</v>
      </c>
      <c r="D59" s="1">
        <f>Q59+G59+F59+H59+E59</f>
        <v>4</v>
      </c>
      <c r="E59" s="177"/>
      <c r="F59" s="50"/>
      <c r="G59" s="50"/>
      <c r="H59" s="120"/>
      <c r="I59" s="22"/>
      <c r="J59" s="50"/>
      <c r="K59" s="50"/>
      <c r="L59" s="50">
        <f>4</f>
        <v>4</v>
      </c>
      <c r="M59" s="50"/>
      <c r="N59" s="50"/>
      <c r="O59" s="120"/>
      <c r="P59" s="96">
        <f>SUM(J59:N59)</f>
        <v>4</v>
      </c>
      <c r="Q59" s="97">
        <f>IF(C59=2011, P59/3,P59)+O59</f>
        <v>4</v>
      </c>
      <c r="R59" s="22"/>
      <c r="Z59" s="95"/>
      <c r="AA59" s="96"/>
      <c r="AB59" s="97"/>
    </row>
    <row r="60" spans="1:47" s="52" customFormat="1" x14ac:dyDescent="0.25">
      <c r="A60" s="11" t="s">
        <v>332</v>
      </c>
      <c r="B60" s="60" t="s">
        <v>0</v>
      </c>
      <c r="C60" s="3">
        <v>2011</v>
      </c>
      <c r="D60" s="1">
        <f>Q60+G60+F60+H60+E60</f>
        <v>101.33333333333333</v>
      </c>
      <c r="E60" s="177"/>
      <c r="F60" s="50"/>
      <c r="G60" s="50"/>
      <c r="H60" s="120"/>
      <c r="I60" s="50"/>
      <c r="J60" s="50">
        <f>9</f>
        <v>9</v>
      </c>
      <c r="K60" s="50">
        <f>0+30</f>
        <v>30</v>
      </c>
      <c r="L60" s="50">
        <f>12</f>
        <v>12</v>
      </c>
      <c r="M60" s="50">
        <f>0+21+3</f>
        <v>24</v>
      </c>
      <c r="N60" s="50">
        <f>AB60</f>
        <v>229</v>
      </c>
      <c r="O60" s="120"/>
      <c r="P60" s="96">
        <f>SUM(J60:N60)</f>
        <v>304</v>
      </c>
      <c r="Q60" s="97">
        <f>IF(C60=2011, P60/3,P60)+O60</f>
        <v>101.33333333333333</v>
      </c>
      <c r="R60" s="22"/>
      <c r="S60" s="41"/>
      <c r="T60" s="41"/>
      <c r="U60" s="41"/>
      <c r="V60" s="41">
        <f>57</f>
        <v>57</v>
      </c>
      <c r="W60" s="41">
        <f>2+27</f>
        <v>29</v>
      </c>
      <c r="X60" s="41">
        <f>20+15+3</f>
        <v>38</v>
      </c>
      <c r="Y60" s="13">
        <v>105</v>
      </c>
      <c r="Z60" s="95"/>
      <c r="AA60" s="96">
        <f>SUM(S60:Y60)</f>
        <v>229</v>
      </c>
      <c r="AB60" s="97">
        <f>IF(C60=2015, AA60/3,AA60)+Z60</f>
        <v>229</v>
      </c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1:47" s="52" customFormat="1" x14ac:dyDescent="0.25">
      <c r="A61" s="11" t="s">
        <v>343</v>
      </c>
      <c r="B61" s="60" t="s">
        <v>7</v>
      </c>
      <c r="C61" s="62">
        <v>2011</v>
      </c>
      <c r="D61" s="1">
        <f>Q61+G61+F61+H61+E61</f>
        <v>11.666666666666666</v>
      </c>
      <c r="E61" s="177"/>
      <c r="F61" s="50"/>
      <c r="G61" s="50"/>
      <c r="H61" s="120"/>
      <c r="I61" s="50"/>
      <c r="J61" s="50"/>
      <c r="K61" s="50">
        <f>8</f>
        <v>8</v>
      </c>
      <c r="L61" s="50"/>
      <c r="M61" s="50">
        <f>0+3+1</f>
        <v>4</v>
      </c>
      <c r="N61" s="50">
        <f>AB61</f>
        <v>23</v>
      </c>
      <c r="O61" s="120"/>
      <c r="P61" s="96">
        <f>SUM(J61:N61)</f>
        <v>35</v>
      </c>
      <c r="Q61" s="97">
        <f>IF(C61=2011, P61/3,P61)+O61</f>
        <v>11.666666666666666</v>
      </c>
      <c r="R61" s="22"/>
      <c r="S61" s="41"/>
      <c r="T61" s="67"/>
      <c r="U61" s="41"/>
      <c r="V61" s="41">
        <f>0</f>
        <v>0</v>
      </c>
      <c r="W61" s="41">
        <f>21</f>
        <v>21</v>
      </c>
      <c r="X61" s="41">
        <f>0+2</f>
        <v>2</v>
      </c>
      <c r="Y61" s="13"/>
      <c r="Z61" s="95"/>
      <c r="AA61" s="96">
        <f>SUM(S61:Y61)</f>
        <v>23</v>
      </c>
      <c r="AB61" s="97">
        <f>IF(C61=2015, AA61/3,AA61)+Z61</f>
        <v>23</v>
      </c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1:47" x14ac:dyDescent="0.25">
      <c r="A62" s="60" t="s">
        <v>663</v>
      </c>
      <c r="B62" s="65" t="s">
        <v>7</v>
      </c>
      <c r="C62" s="62">
        <v>2008</v>
      </c>
      <c r="D62" s="1">
        <f>Q62+G62+F62+H62+E62</f>
        <v>37</v>
      </c>
      <c r="E62" s="177"/>
      <c r="F62" s="50"/>
      <c r="G62" s="50"/>
      <c r="H62" s="120"/>
      <c r="I62" s="22"/>
      <c r="J62" s="50"/>
      <c r="K62" s="50"/>
      <c r="L62" s="50">
        <f>0</f>
        <v>0</v>
      </c>
      <c r="M62" s="50"/>
      <c r="N62" s="50">
        <f>37</f>
        <v>37</v>
      </c>
      <c r="O62" s="120"/>
      <c r="P62" s="96">
        <f>SUM(J62:N62)</f>
        <v>37</v>
      </c>
      <c r="Q62" s="97">
        <f>IF(C62=2011, P62/3,P62)+O62</f>
        <v>37</v>
      </c>
      <c r="R62" s="22"/>
      <c r="Z62" s="95"/>
      <c r="AA62" s="96"/>
      <c r="AB62" s="97"/>
    </row>
    <row r="63" spans="1:47" x14ac:dyDescent="0.25">
      <c r="A63" s="11" t="s">
        <v>136</v>
      </c>
      <c r="B63" s="60" t="s">
        <v>87</v>
      </c>
      <c r="C63" s="62">
        <v>2011</v>
      </c>
      <c r="D63" s="1">
        <f>Q63+G63+F63+H63+E63</f>
        <v>4.333333333333333</v>
      </c>
      <c r="E63" s="177"/>
      <c r="F63" s="50"/>
      <c r="G63" s="50"/>
      <c r="H63" s="120"/>
      <c r="I63" s="50"/>
      <c r="J63" s="50"/>
      <c r="K63" s="50"/>
      <c r="L63" s="50"/>
      <c r="M63" s="50"/>
      <c r="N63" s="50">
        <f>AB63</f>
        <v>13</v>
      </c>
      <c r="O63" s="120"/>
      <c r="P63" s="96">
        <f>SUM(J63:N63)</f>
        <v>13</v>
      </c>
      <c r="Q63" s="97">
        <f>IF(C63=2011, P63/3,P63)+O63</f>
        <v>4.333333333333333</v>
      </c>
      <c r="R63" s="22"/>
      <c r="S63" s="41"/>
      <c r="T63" s="41">
        <f>8+2</f>
        <v>10</v>
      </c>
      <c r="U63" s="41"/>
      <c r="V63" s="41">
        <f>0+3</f>
        <v>3</v>
      </c>
      <c r="W63" s="41"/>
      <c r="X63" s="41"/>
      <c r="Z63" s="95"/>
      <c r="AA63" s="96">
        <f>SUM(S63:Y63)</f>
        <v>13</v>
      </c>
      <c r="AB63" s="97">
        <f>IF(C63=2015, AA63/3,AA63)+Z63</f>
        <v>13</v>
      </c>
    </row>
    <row r="64" spans="1:47" x14ac:dyDescent="0.25">
      <c r="A64" s="77" t="s">
        <v>712</v>
      </c>
      <c r="B64" s="87" t="s">
        <v>711</v>
      </c>
      <c r="C64" s="3">
        <v>2010</v>
      </c>
      <c r="D64" s="1">
        <f>Q64+G64+F64+H64+E64</f>
        <v>3</v>
      </c>
      <c r="E64" s="177"/>
      <c r="F64" s="50"/>
      <c r="G64" s="50"/>
      <c r="H64" s="120"/>
      <c r="I64" s="22"/>
      <c r="J64" s="50"/>
      <c r="K64" s="50">
        <f>3</f>
        <v>3</v>
      </c>
      <c r="L64" s="50"/>
      <c r="M64" s="50"/>
      <c r="N64" s="50"/>
      <c r="O64" s="120"/>
      <c r="P64" s="96">
        <f>SUM(J64:N64)</f>
        <v>3</v>
      </c>
      <c r="Q64" s="97">
        <f>IF(C64=2011, P64/3,P64)+O64</f>
        <v>3</v>
      </c>
      <c r="R64" s="22"/>
      <c r="Z64" s="95"/>
      <c r="AA64" s="96"/>
      <c r="AB64" s="97"/>
    </row>
    <row r="65" spans="1:47" x14ac:dyDescent="0.25">
      <c r="A65" s="77" t="s">
        <v>672</v>
      </c>
      <c r="B65" s="87" t="s">
        <v>64</v>
      </c>
      <c r="C65" s="3">
        <v>2008</v>
      </c>
      <c r="D65" s="1">
        <f>Q65+G65+F65+H65+E65</f>
        <v>41</v>
      </c>
      <c r="E65" s="177"/>
      <c r="F65" s="50">
        <f>0</f>
        <v>0</v>
      </c>
      <c r="G65" s="50">
        <f>0</f>
        <v>0</v>
      </c>
      <c r="H65" s="120">
        <f>2</f>
        <v>2</v>
      </c>
      <c r="I65" s="22"/>
      <c r="J65" s="50"/>
      <c r="K65" s="50"/>
      <c r="L65" s="50">
        <f>39</f>
        <v>39</v>
      </c>
      <c r="M65" s="50"/>
      <c r="N65" s="50"/>
      <c r="O65" s="120"/>
      <c r="P65" s="96">
        <f>SUM(J65:N65)</f>
        <v>39</v>
      </c>
      <c r="Q65" s="97">
        <f>IF(C65=2011, P65/3,P65)+O65</f>
        <v>39</v>
      </c>
      <c r="R65" s="22"/>
      <c r="Z65" s="95"/>
      <c r="AA65" s="96"/>
      <c r="AB65" s="97"/>
      <c r="AC65" s="74"/>
    </row>
    <row r="66" spans="1:47" x14ac:dyDescent="0.25">
      <c r="A66" s="77" t="s">
        <v>651</v>
      </c>
      <c r="B66" s="87" t="s">
        <v>233</v>
      </c>
      <c r="D66" s="1">
        <f>Q66+G66+F66+H66+E66</f>
        <v>14</v>
      </c>
      <c r="E66" s="177"/>
      <c r="F66" s="50"/>
      <c r="G66" s="50"/>
      <c r="H66" s="120"/>
      <c r="I66" s="22"/>
      <c r="J66" s="50"/>
      <c r="K66" s="50"/>
      <c r="L66" s="50">
        <f>14</f>
        <v>14</v>
      </c>
      <c r="M66" s="50"/>
      <c r="N66" s="50"/>
      <c r="O66" s="120"/>
      <c r="P66" s="96">
        <f>SUM(J66:N66)</f>
        <v>14</v>
      </c>
      <c r="Q66" s="97">
        <f>IF(C66=2011, P66/3,P66)+O66</f>
        <v>14</v>
      </c>
      <c r="R66" s="22"/>
      <c r="Z66" s="95"/>
      <c r="AA66" s="96"/>
      <c r="AB66" s="97"/>
    </row>
    <row r="67" spans="1:47" x14ac:dyDescent="0.25">
      <c r="A67" s="60" t="s">
        <v>390</v>
      </c>
      <c r="B67" s="65" t="s">
        <v>383</v>
      </c>
      <c r="C67" s="62">
        <v>2009</v>
      </c>
      <c r="D67" s="1">
        <f>Q67+G67+F67+H67+E67</f>
        <v>0</v>
      </c>
      <c r="E67" s="177"/>
      <c r="F67" s="50"/>
      <c r="G67" s="50"/>
      <c r="H67" s="120"/>
      <c r="I67" s="22"/>
      <c r="J67" s="50"/>
      <c r="K67" s="50"/>
      <c r="L67" s="50"/>
      <c r="M67" s="50"/>
      <c r="N67" s="50">
        <f>AB67</f>
        <v>0</v>
      </c>
      <c r="O67" s="120"/>
      <c r="P67" s="96">
        <f>SUM(J67:N67)</f>
        <v>0</v>
      </c>
      <c r="Q67" s="97">
        <f>IF(C67=2011, P67/3,P67)+O67</f>
        <v>0</v>
      </c>
      <c r="R67" s="22"/>
      <c r="V67" s="13">
        <f>0</f>
        <v>0</v>
      </c>
      <c r="Z67" s="95"/>
      <c r="AA67" s="96">
        <f>SUM(S67:Y67)</f>
        <v>0</v>
      </c>
      <c r="AB67" s="97">
        <f>IF(C67=2010, AA67/3,AA67)+Z67</f>
        <v>0</v>
      </c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</row>
    <row r="68" spans="1:47" s="52" customFormat="1" x14ac:dyDescent="0.25">
      <c r="A68" s="11" t="s">
        <v>128</v>
      </c>
      <c r="B68" s="60" t="s">
        <v>112</v>
      </c>
      <c r="C68" s="62">
        <v>2011</v>
      </c>
      <c r="D68" s="1">
        <f>Q68+G68+F68+H68+E68</f>
        <v>117.33333333333333</v>
      </c>
      <c r="E68" s="177"/>
      <c r="F68" s="50"/>
      <c r="G68" s="50"/>
      <c r="H68" s="120"/>
      <c r="I68" s="50"/>
      <c r="J68" s="50"/>
      <c r="K68" s="50">
        <f>50</f>
        <v>50</v>
      </c>
      <c r="L68" s="50">
        <f>52</f>
        <v>52</v>
      </c>
      <c r="M68" s="50">
        <f>32</f>
        <v>32</v>
      </c>
      <c r="N68" s="50">
        <f>AB68</f>
        <v>194</v>
      </c>
      <c r="O68" s="120">
        <f>8</f>
        <v>8</v>
      </c>
      <c r="P68" s="96">
        <f>SUM(J68:N68)</f>
        <v>328</v>
      </c>
      <c r="Q68" s="97">
        <f>IF(C68=2011, P68/3,P68)+O68</f>
        <v>117.33333333333333</v>
      </c>
      <c r="R68" s="22"/>
      <c r="S68" s="41"/>
      <c r="T68" s="41">
        <f>20+5</f>
        <v>25</v>
      </c>
      <c r="U68" s="41"/>
      <c r="V68" s="41">
        <f>45+6</f>
        <v>51</v>
      </c>
      <c r="W68" s="41">
        <f>36+15</f>
        <v>51</v>
      </c>
      <c r="X68" s="41">
        <f>37+30</f>
        <v>67</v>
      </c>
      <c r="Y68" s="13"/>
      <c r="Z68" s="95"/>
      <c r="AA68" s="96">
        <f>SUM(S68:Y68)</f>
        <v>194</v>
      </c>
      <c r="AB68" s="97">
        <f>IF(C68=2015, AA68/3,AA68)+Z68</f>
        <v>194</v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</row>
    <row r="69" spans="1:47" s="17" customFormat="1" x14ac:dyDescent="0.25">
      <c r="A69" s="60" t="s">
        <v>185</v>
      </c>
      <c r="B69" s="65" t="s">
        <v>88</v>
      </c>
      <c r="C69" s="62">
        <v>2008</v>
      </c>
      <c r="D69" s="1">
        <f>Q69+G69+F69+H69+E69</f>
        <v>6</v>
      </c>
      <c r="E69" s="177"/>
      <c r="F69" s="50"/>
      <c r="G69" s="50"/>
      <c r="H69" s="120"/>
      <c r="I69" s="22"/>
      <c r="J69" s="50"/>
      <c r="K69" s="50"/>
      <c r="L69" s="50"/>
      <c r="M69" s="50"/>
      <c r="N69" s="50">
        <f>AB69</f>
        <v>6</v>
      </c>
      <c r="O69" s="120"/>
      <c r="P69" s="96">
        <f>SUM(J69:N69)</f>
        <v>6</v>
      </c>
      <c r="Q69" s="97">
        <f>IF(C69=2011, P69/3,P69)+O69</f>
        <v>6</v>
      </c>
      <c r="R69" s="22"/>
      <c r="S69" s="13"/>
      <c r="T69" s="13">
        <f>6</f>
        <v>6</v>
      </c>
      <c r="U69" s="13"/>
      <c r="V69" s="13"/>
      <c r="W69" s="13"/>
      <c r="X69" s="13"/>
      <c r="Y69" s="13"/>
      <c r="Z69" s="95"/>
      <c r="AA69" s="96">
        <f>SUM(S69:Y69)</f>
        <v>6</v>
      </c>
      <c r="AB69" s="97">
        <f>IF(C69=2010, AA69/3,AA69)+Z69</f>
        <v>6</v>
      </c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</row>
    <row r="70" spans="1:47" s="52" customFormat="1" x14ac:dyDescent="0.25">
      <c r="A70" s="60" t="s">
        <v>596</v>
      </c>
      <c r="B70" s="65" t="s">
        <v>590</v>
      </c>
      <c r="C70" s="62">
        <v>2010</v>
      </c>
      <c r="D70" s="1">
        <f>Q70+G70+F70+H70+E70</f>
        <v>6</v>
      </c>
      <c r="E70" s="177"/>
      <c r="F70" s="50"/>
      <c r="G70" s="50">
        <f>3</f>
        <v>3</v>
      </c>
      <c r="H70" s="120"/>
      <c r="I70" s="22"/>
      <c r="J70" s="50"/>
      <c r="K70" s="50"/>
      <c r="L70" s="50"/>
      <c r="M70" s="50">
        <f>3</f>
        <v>3</v>
      </c>
      <c r="N70" s="50"/>
      <c r="O70" s="120"/>
      <c r="P70" s="96">
        <f>SUM(J70:N70)</f>
        <v>3</v>
      </c>
      <c r="Q70" s="97">
        <f>IF(C70=2011, P70/3,P70)+O70</f>
        <v>3</v>
      </c>
      <c r="R70" s="22"/>
      <c r="S70" s="13"/>
      <c r="T70" s="13"/>
      <c r="U70" s="13"/>
      <c r="V70" s="13"/>
      <c r="W70" s="13"/>
      <c r="X70" s="13"/>
      <c r="Y70" s="13"/>
      <c r="Z70" s="95"/>
      <c r="AA70" s="96">
        <f>SUM(S70:Y70)</f>
        <v>0</v>
      </c>
      <c r="AB70" s="97">
        <f>IF(C70=2010, AA70/3,AA70)+Z70</f>
        <v>0</v>
      </c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spans="1:47" x14ac:dyDescent="0.25">
      <c r="A71" s="11" t="s">
        <v>732</v>
      </c>
      <c r="B71" s="11" t="s">
        <v>63</v>
      </c>
      <c r="C71" s="3">
        <v>2011</v>
      </c>
      <c r="D71" s="1">
        <f>Q71+G71+F71+H71+E71</f>
        <v>6</v>
      </c>
      <c r="H71" s="158"/>
      <c r="I71" s="101"/>
      <c r="J71" s="50">
        <f>12</f>
        <v>12</v>
      </c>
      <c r="K71" s="50"/>
      <c r="L71" s="50"/>
      <c r="M71" s="50"/>
      <c r="N71" s="50"/>
      <c r="O71" s="120">
        <f>2</f>
        <v>2</v>
      </c>
      <c r="P71" s="96">
        <f>SUM(J71:N71)</f>
        <v>12</v>
      </c>
      <c r="Q71" s="97">
        <f>IF(C71=2011, P71/3,P71)+O71</f>
        <v>6</v>
      </c>
      <c r="R71" s="101"/>
      <c r="S71" s="157"/>
      <c r="T71" s="157"/>
      <c r="U71" s="157"/>
      <c r="V71" s="157"/>
      <c r="W71" s="157"/>
      <c r="X71" s="157"/>
      <c r="Y71" s="157"/>
      <c r="Z71" s="95"/>
      <c r="AA71" s="96">
        <f>SUM(S71:Y71)</f>
        <v>0</v>
      </c>
      <c r="AB71" s="97">
        <f>IF(C71=2010, AA71/3,AA71)+Z71</f>
        <v>0</v>
      </c>
    </row>
    <row r="72" spans="1:47" x14ac:dyDescent="0.25">
      <c r="A72" s="60" t="s">
        <v>272</v>
      </c>
      <c r="B72" s="65" t="s">
        <v>36</v>
      </c>
      <c r="C72" s="62">
        <v>2008</v>
      </c>
      <c r="D72" s="1">
        <f>Q72+G72+F72+H72+E72</f>
        <v>48</v>
      </c>
      <c r="E72" s="177"/>
      <c r="F72" s="50"/>
      <c r="G72" s="50"/>
      <c r="H72" s="120"/>
      <c r="I72" s="22"/>
      <c r="J72" s="50"/>
      <c r="K72" s="50"/>
      <c r="L72" s="50"/>
      <c r="M72" s="50"/>
      <c r="N72" s="50">
        <f>AB72</f>
        <v>48</v>
      </c>
      <c r="O72" s="120"/>
      <c r="P72" s="96">
        <f>SUM(J72:N72)</f>
        <v>48</v>
      </c>
      <c r="Q72" s="97">
        <f>IF(C72=2011, P72/3,P72)+O72</f>
        <v>48</v>
      </c>
      <c r="R72" s="22"/>
      <c r="U72" s="13">
        <f>3+3</f>
        <v>6</v>
      </c>
      <c r="V72" s="13">
        <f>24+18</f>
        <v>42</v>
      </c>
      <c r="Z72" s="95"/>
      <c r="AA72" s="96">
        <f>SUM(S72:Y72)</f>
        <v>48</v>
      </c>
      <c r="AB72" s="97">
        <f>IF(C72=2010, AA72/3,AA72)+Z72</f>
        <v>48</v>
      </c>
    </row>
    <row r="73" spans="1:47" x14ac:dyDescent="0.25">
      <c r="A73" s="60" t="s">
        <v>675</v>
      </c>
      <c r="B73" s="65" t="s">
        <v>667</v>
      </c>
      <c r="C73" s="62"/>
      <c r="D73" s="1">
        <f>Q73+G73+F73+H73+E73</f>
        <v>21</v>
      </c>
      <c r="E73" s="177"/>
      <c r="F73" s="50"/>
      <c r="G73" s="50"/>
      <c r="H73" s="120"/>
      <c r="I73" s="22"/>
      <c r="J73" s="50"/>
      <c r="K73" s="50"/>
      <c r="L73" s="50">
        <f>0+21</f>
        <v>21</v>
      </c>
      <c r="M73" s="50"/>
      <c r="N73" s="50"/>
      <c r="O73" s="120"/>
      <c r="P73" s="96">
        <f>SUM(J73:N73)</f>
        <v>21</v>
      </c>
      <c r="Q73" s="97">
        <f>IF(C73=2011, P73/3,P73)+O73</f>
        <v>21</v>
      </c>
      <c r="R73" s="22"/>
      <c r="Z73" s="95"/>
      <c r="AA73" s="96"/>
      <c r="AB73" s="97"/>
    </row>
    <row r="74" spans="1:47" x14ac:dyDescent="0.25">
      <c r="A74" s="60" t="s">
        <v>354</v>
      </c>
      <c r="B74" s="65" t="s">
        <v>0</v>
      </c>
      <c r="C74" s="62">
        <v>2009</v>
      </c>
      <c r="D74" s="1">
        <f>Q74+G74+F74+H74+E74</f>
        <v>155</v>
      </c>
      <c r="E74" s="177">
        <f>38</f>
        <v>38</v>
      </c>
      <c r="F74" s="50">
        <f>6</f>
        <v>6</v>
      </c>
      <c r="G74" s="50">
        <f>42+3</f>
        <v>45</v>
      </c>
      <c r="H74" s="120">
        <f>3</f>
        <v>3</v>
      </c>
      <c r="I74" s="22"/>
      <c r="J74" s="50">
        <f>14</f>
        <v>14</v>
      </c>
      <c r="K74" s="50">
        <f>6</f>
        <v>6</v>
      </c>
      <c r="L74" s="50">
        <f>37</f>
        <v>37</v>
      </c>
      <c r="M74" s="50"/>
      <c r="N74" s="50">
        <f>AB74</f>
        <v>6</v>
      </c>
      <c r="O74" s="120"/>
      <c r="P74" s="96">
        <f>SUM(J74:N74)</f>
        <v>63</v>
      </c>
      <c r="Q74" s="97">
        <f>IF(C74=2011, P74/3,P74)+O74</f>
        <v>63</v>
      </c>
      <c r="R74" s="22"/>
      <c r="V74" s="13">
        <f>6</f>
        <v>6</v>
      </c>
      <c r="Z74" s="95"/>
      <c r="AA74" s="96">
        <f>SUM(S74:Y74)</f>
        <v>6</v>
      </c>
      <c r="AB74" s="97">
        <f>IF(C74=2010, AA74/3,AA74)+Z74</f>
        <v>6</v>
      </c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</row>
    <row r="75" spans="1:47" x14ac:dyDescent="0.25">
      <c r="A75" s="11" t="s">
        <v>461</v>
      </c>
      <c r="B75" s="60" t="s">
        <v>7</v>
      </c>
      <c r="C75" s="62">
        <v>2009</v>
      </c>
      <c r="D75" s="1">
        <f>Q75+G75+F75+H75+E75</f>
        <v>94</v>
      </c>
      <c r="E75" s="177"/>
      <c r="F75" s="50"/>
      <c r="G75" s="50"/>
      <c r="H75" s="120"/>
      <c r="I75" s="50"/>
      <c r="J75" s="50"/>
      <c r="K75" s="50">
        <f>0</f>
        <v>0</v>
      </c>
      <c r="L75" s="50">
        <f>42</f>
        <v>42</v>
      </c>
      <c r="M75" s="50">
        <f>16+3+1</f>
        <v>20</v>
      </c>
      <c r="N75" s="50">
        <f>AB75</f>
        <v>32</v>
      </c>
      <c r="O75" s="120"/>
      <c r="P75" s="96">
        <f>SUM(J75:N75)</f>
        <v>94</v>
      </c>
      <c r="Q75" s="97">
        <f>IF(C75=2011, P75/3,P75)+O75</f>
        <v>94</v>
      </c>
      <c r="R75" s="22"/>
      <c r="S75" s="41"/>
      <c r="T75" s="41"/>
      <c r="U75" s="41"/>
      <c r="V75" s="41"/>
      <c r="W75" s="41">
        <f>0</f>
        <v>0</v>
      </c>
      <c r="X75" s="41">
        <f>0+30+2</f>
        <v>32</v>
      </c>
      <c r="Z75" s="95"/>
      <c r="AA75" s="96">
        <f>SUM(S75:Y75)</f>
        <v>32</v>
      </c>
      <c r="AB75" s="97">
        <f>IF(C75=2015, AA75/3,AA75)+Z75</f>
        <v>32</v>
      </c>
    </row>
    <row r="76" spans="1:47" x14ac:dyDescent="0.25">
      <c r="A76" s="11" t="s">
        <v>460</v>
      </c>
      <c r="B76" s="60" t="s">
        <v>7</v>
      </c>
      <c r="C76" s="62">
        <v>2009</v>
      </c>
      <c r="D76" s="1">
        <f>Q76+G76+F76+H76+E76</f>
        <v>29</v>
      </c>
      <c r="E76" s="177"/>
      <c r="F76" s="50"/>
      <c r="G76" s="50"/>
      <c r="H76" s="120"/>
      <c r="I76" s="50"/>
      <c r="J76" s="50"/>
      <c r="K76" s="50">
        <f>8</f>
        <v>8</v>
      </c>
      <c r="L76" s="50">
        <f>0</f>
        <v>0</v>
      </c>
      <c r="M76" s="50">
        <f>0+1</f>
        <v>1</v>
      </c>
      <c r="N76" s="50">
        <f>AB76</f>
        <v>17</v>
      </c>
      <c r="O76" s="120">
        <f>3</f>
        <v>3</v>
      </c>
      <c r="P76" s="96">
        <f>SUM(J76:N76)</f>
        <v>26</v>
      </c>
      <c r="Q76" s="97">
        <f>IF(C76=2011, P76/3,P76)+O76</f>
        <v>29</v>
      </c>
      <c r="R76" s="22"/>
      <c r="S76" s="41"/>
      <c r="T76" s="41"/>
      <c r="U76" s="41"/>
      <c r="V76" s="41"/>
      <c r="W76" s="41">
        <f>15</f>
        <v>15</v>
      </c>
      <c r="X76" s="41">
        <f>0+2</f>
        <v>2</v>
      </c>
      <c r="Z76" s="95"/>
      <c r="AA76" s="96">
        <f>SUM(S76:Y76)</f>
        <v>17</v>
      </c>
      <c r="AB76" s="97">
        <f>IF(C76=2015, AA76/3,AA76)+Z76</f>
        <v>17</v>
      </c>
    </row>
    <row r="77" spans="1:47" x14ac:dyDescent="0.25">
      <c r="A77" s="60" t="s">
        <v>669</v>
      </c>
      <c r="B77" s="65" t="s">
        <v>667</v>
      </c>
      <c r="C77" s="62"/>
      <c r="D77" s="1">
        <f>Q77+G77+F77+H77+E77</f>
        <v>90</v>
      </c>
      <c r="E77" s="177"/>
      <c r="F77" s="50"/>
      <c r="G77" s="50"/>
      <c r="H77" s="120"/>
      <c r="I77" s="22"/>
      <c r="J77" s="50"/>
      <c r="K77" s="50"/>
      <c r="L77" s="50">
        <f>90</f>
        <v>90</v>
      </c>
      <c r="M77" s="50"/>
      <c r="N77" s="50"/>
      <c r="O77" s="120"/>
      <c r="P77" s="96">
        <f>SUM(J77:N77)</f>
        <v>90</v>
      </c>
      <c r="Q77" s="97">
        <f>IF(C77=2011, P77/3,P77)+O77</f>
        <v>90</v>
      </c>
      <c r="R77" s="22"/>
      <c r="Z77" s="95"/>
      <c r="AA77" s="96"/>
      <c r="AB77" s="97"/>
    </row>
    <row r="78" spans="1:47" x14ac:dyDescent="0.25">
      <c r="A78" s="11" t="s">
        <v>401</v>
      </c>
      <c r="B78" s="60" t="s">
        <v>112</v>
      </c>
      <c r="C78" s="62">
        <v>2010</v>
      </c>
      <c r="D78" s="1">
        <f>Q78+G78+F78+H78+E78</f>
        <v>151</v>
      </c>
      <c r="E78" s="177">
        <f>24+9</f>
        <v>33</v>
      </c>
      <c r="F78" s="50">
        <f>36+2</f>
        <v>38</v>
      </c>
      <c r="G78" s="50">
        <f>0+2</f>
        <v>2</v>
      </c>
      <c r="H78" s="120"/>
      <c r="I78" s="22"/>
      <c r="J78" s="50">
        <f>14+12</f>
        <v>26</v>
      </c>
      <c r="K78" s="50">
        <f>11</f>
        <v>11</v>
      </c>
      <c r="L78" s="50">
        <f>22</f>
        <v>22</v>
      </c>
      <c r="M78" s="50"/>
      <c r="N78" s="50">
        <f>AB78</f>
        <v>19</v>
      </c>
      <c r="O78" s="120"/>
      <c r="P78" s="96">
        <f>SUM(J78:N78)</f>
        <v>78</v>
      </c>
      <c r="Q78" s="97">
        <f>IF(C78=2011, P78/3,P78)+O78</f>
        <v>78</v>
      </c>
      <c r="R78" s="22"/>
      <c r="S78" s="41"/>
      <c r="T78" s="41"/>
      <c r="U78" s="41"/>
      <c r="V78" s="41"/>
      <c r="W78" s="41">
        <f>29</f>
        <v>29</v>
      </c>
      <c r="X78" s="41">
        <f>28</f>
        <v>28</v>
      </c>
      <c r="Z78" s="95"/>
      <c r="AA78" s="96">
        <f>SUM(S78:Y78)</f>
        <v>57</v>
      </c>
      <c r="AB78" s="97">
        <f>IF(C78=2010, AA78/3,AA78)+Z78</f>
        <v>19</v>
      </c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</row>
    <row r="79" spans="1:47" x14ac:dyDescent="0.25">
      <c r="A79" s="11" t="s">
        <v>706</v>
      </c>
      <c r="B79" s="60" t="s">
        <v>707</v>
      </c>
      <c r="C79" s="62"/>
      <c r="D79" s="1">
        <f>Q79+G79+F79+H79+E79</f>
        <v>40</v>
      </c>
      <c r="E79" s="177">
        <f>3+3</f>
        <v>6</v>
      </c>
      <c r="F79" s="50"/>
      <c r="G79" s="50">
        <f>23</f>
        <v>23</v>
      </c>
      <c r="H79" s="120"/>
      <c r="I79" s="22"/>
      <c r="J79" s="50"/>
      <c r="K79" s="50">
        <f>11</f>
        <v>11</v>
      </c>
      <c r="L79" s="50"/>
      <c r="M79" s="50"/>
      <c r="N79" s="50"/>
      <c r="O79" s="120"/>
      <c r="P79" s="96">
        <f>SUM(J79:N79)</f>
        <v>11</v>
      </c>
      <c r="Q79" s="97">
        <f>IF(C79=2011, P79/3,P79)+O79</f>
        <v>11</v>
      </c>
      <c r="R79" s="22"/>
      <c r="S79" s="41"/>
      <c r="T79" s="41"/>
      <c r="U79" s="41"/>
      <c r="V79" s="41"/>
      <c r="W79" s="41"/>
      <c r="X79" s="41"/>
      <c r="Z79" s="95"/>
      <c r="AA79" s="96"/>
      <c r="AB79" s="97"/>
    </row>
    <row r="80" spans="1:47" s="52" customFormat="1" x14ac:dyDescent="0.25">
      <c r="A80" s="233" t="s">
        <v>666</v>
      </c>
      <c r="B80" s="60" t="s">
        <v>667</v>
      </c>
      <c r="C80" s="62"/>
      <c r="D80" s="1">
        <f>Q80+G80+F80+H80+E80</f>
        <v>141</v>
      </c>
      <c r="E80" s="177"/>
      <c r="F80" s="50"/>
      <c r="G80" s="50"/>
      <c r="H80" s="120"/>
      <c r="I80" s="22"/>
      <c r="J80" s="50"/>
      <c r="K80" s="50"/>
      <c r="L80" s="50">
        <f>141</f>
        <v>141</v>
      </c>
      <c r="M80" s="50"/>
      <c r="N80" s="50"/>
      <c r="O80" s="120"/>
      <c r="P80" s="96">
        <f>SUM(J80:N80)</f>
        <v>141</v>
      </c>
      <c r="Q80" s="97">
        <f>IF(C80=2011, P80/3,P80)+O80</f>
        <v>141</v>
      </c>
      <c r="R80" s="22"/>
      <c r="S80" s="41"/>
      <c r="T80" s="41"/>
      <c r="U80" s="41"/>
      <c r="V80" s="41"/>
      <c r="W80" s="41"/>
      <c r="X80" s="41"/>
      <c r="Y80" s="13"/>
      <c r="Z80" s="95"/>
      <c r="AA80" s="96"/>
      <c r="AB80" s="97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47" x14ac:dyDescent="0.25">
      <c r="A81" s="60" t="s">
        <v>658</v>
      </c>
      <c r="B81" s="65" t="s">
        <v>7</v>
      </c>
      <c r="C81" s="62">
        <v>2009</v>
      </c>
      <c r="D81" s="1">
        <f>Q81+G81+F81+H81+E81</f>
        <v>40</v>
      </c>
      <c r="E81" s="177"/>
      <c r="F81" s="50"/>
      <c r="G81" s="50"/>
      <c r="H81" s="120"/>
      <c r="I81" s="22"/>
      <c r="J81" s="50"/>
      <c r="K81" s="50"/>
      <c r="L81" s="50"/>
      <c r="M81" s="50"/>
      <c r="N81" s="50">
        <f>40</f>
        <v>40</v>
      </c>
      <c r="O81" s="120"/>
      <c r="P81" s="96">
        <f>SUM(J81:N81)</f>
        <v>40</v>
      </c>
      <c r="Q81" s="97">
        <f>IF(C81=2011, P81/3,P81)+O81</f>
        <v>40</v>
      </c>
      <c r="R81" s="22"/>
      <c r="Z81" s="95"/>
      <c r="AA81" s="96"/>
      <c r="AB81" s="97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</row>
    <row r="82" spans="1:47" x14ac:dyDescent="0.25">
      <c r="A82" s="11" t="s">
        <v>674</v>
      </c>
      <c r="B82" s="60" t="s">
        <v>667</v>
      </c>
      <c r="C82" s="62"/>
      <c r="D82" s="1">
        <f>Q82+G82+F82+H82+E82</f>
        <v>39</v>
      </c>
      <c r="E82" s="177"/>
      <c r="F82" s="50"/>
      <c r="G82" s="50"/>
      <c r="H82" s="120"/>
      <c r="I82" s="22"/>
      <c r="J82" s="50"/>
      <c r="K82" s="50"/>
      <c r="L82" s="50">
        <f>39</f>
        <v>39</v>
      </c>
      <c r="M82" s="50"/>
      <c r="N82" s="50"/>
      <c r="O82" s="120"/>
      <c r="P82" s="96">
        <f>SUM(J82:N82)</f>
        <v>39</v>
      </c>
      <c r="Q82" s="97">
        <f>IF(C82=2011, P82/3,P82)+O82</f>
        <v>39</v>
      </c>
      <c r="R82" s="22"/>
      <c r="S82" s="41"/>
      <c r="T82" s="41"/>
      <c r="U82" s="41"/>
      <c r="V82" s="41"/>
      <c r="W82" s="41"/>
      <c r="X82" s="41"/>
      <c r="Z82" s="95"/>
      <c r="AA82" s="96"/>
      <c r="AB82" s="97"/>
    </row>
    <row r="83" spans="1:47" x14ac:dyDescent="0.25">
      <c r="A83" s="60" t="s">
        <v>517</v>
      </c>
      <c r="B83" s="65" t="s">
        <v>7</v>
      </c>
      <c r="C83" s="62">
        <v>2009</v>
      </c>
      <c r="D83" s="1">
        <f>Q83+G83+F83+H83+E83</f>
        <v>39</v>
      </c>
      <c r="E83" s="177"/>
      <c r="F83" s="50"/>
      <c r="G83" s="50"/>
      <c r="H83" s="120"/>
      <c r="I83" s="22"/>
      <c r="J83" s="50"/>
      <c r="K83" s="50"/>
      <c r="L83" s="50"/>
      <c r="M83" s="50"/>
      <c r="N83" s="50">
        <f>AB83</f>
        <v>39</v>
      </c>
      <c r="O83" s="120"/>
      <c r="P83" s="96">
        <f>SUM(J83:N83)</f>
        <v>39</v>
      </c>
      <c r="Q83" s="97">
        <f>IF(C83=2011, P83/3,P83)+O83</f>
        <v>39</v>
      </c>
      <c r="R83" s="22"/>
      <c r="X83" s="13">
        <f>39</f>
        <v>39</v>
      </c>
      <c r="Z83" s="95"/>
      <c r="AA83" s="96">
        <f>SUM(S83:Y83)</f>
        <v>39</v>
      </c>
      <c r="AB83" s="97">
        <f>IF(C83=2010, AA83/3,AA83)+Z83</f>
        <v>39</v>
      </c>
    </row>
    <row r="84" spans="1:47" x14ac:dyDescent="0.25">
      <c r="A84" s="60" t="s">
        <v>670</v>
      </c>
      <c r="B84" s="65" t="s">
        <v>605</v>
      </c>
      <c r="C84" s="62">
        <v>2008</v>
      </c>
      <c r="D84" s="1">
        <f>Q84+G84+F84+H84+E84</f>
        <v>274</v>
      </c>
      <c r="E84" s="177"/>
      <c r="F84" s="50"/>
      <c r="G84" s="50"/>
      <c r="H84" s="120"/>
      <c r="I84" s="22"/>
      <c r="J84" s="50"/>
      <c r="K84" s="50"/>
      <c r="L84" s="50">
        <f>90+69</f>
        <v>159</v>
      </c>
      <c r="M84" s="50"/>
      <c r="N84" s="50">
        <v>115</v>
      </c>
      <c r="O84" s="120"/>
      <c r="P84" s="96">
        <f>SUM(J84:N84)</f>
        <v>274</v>
      </c>
      <c r="Q84" s="97">
        <f>IF(C84=2011, P84/3,P84)+O84</f>
        <v>274</v>
      </c>
      <c r="R84" s="22"/>
      <c r="Z84" s="95"/>
      <c r="AA84" s="96"/>
      <c r="AB84" s="97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</row>
    <row r="85" spans="1:47" x14ac:dyDescent="0.25">
      <c r="A85" s="71" t="s">
        <v>250</v>
      </c>
      <c r="B85" s="71" t="s">
        <v>233</v>
      </c>
      <c r="C85" s="72">
        <v>2010</v>
      </c>
      <c r="D85" s="1">
        <f>Q85+G85+F85+H85+E85</f>
        <v>19.666666666666668</v>
      </c>
      <c r="E85" s="177"/>
      <c r="F85" s="50"/>
      <c r="G85" s="50">
        <f>0</f>
        <v>0</v>
      </c>
      <c r="H85" s="120"/>
      <c r="I85" s="22"/>
      <c r="J85" s="50"/>
      <c r="K85" s="50"/>
      <c r="L85" s="50"/>
      <c r="M85" s="50"/>
      <c r="N85" s="50">
        <f>AB85</f>
        <v>19.666666666666668</v>
      </c>
      <c r="O85" s="120"/>
      <c r="P85" s="96">
        <f>SUM(J85:N85)</f>
        <v>19.666666666666668</v>
      </c>
      <c r="Q85" s="97">
        <f>IF(C85=2011, P85/3,P85)+O85</f>
        <v>19.666666666666668</v>
      </c>
      <c r="R85" s="22"/>
      <c r="S85" s="182"/>
      <c r="T85" s="182"/>
      <c r="U85" s="182">
        <f>18</f>
        <v>18</v>
      </c>
      <c r="V85" s="182"/>
      <c r="W85" s="182"/>
      <c r="X85" s="182"/>
      <c r="Y85" s="36">
        <f>41</f>
        <v>41</v>
      </c>
      <c r="Z85" s="95"/>
      <c r="AA85" s="96">
        <f>SUM(S85:Y85)</f>
        <v>59</v>
      </c>
      <c r="AB85" s="97">
        <f>IF(C85=2010, AA85/3,AA85)+Z85</f>
        <v>19.666666666666668</v>
      </c>
    </row>
    <row r="86" spans="1:47" x14ac:dyDescent="0.25">
      <c r="A86" s="71" t="s">
        <v>555</v>
      </c>
      <c r="B86" s="66" t="s">
        <v>64</v>
      </c>
      <c r="C86" s="72">
        <v>2011</v>
      </c>
      <c r="D86" s="1">
        <f>Q86+G86+F86+H86+E86</f>
        <v>64.666666666666671</v>
      </c>
      <c r="E86" s="177"/>
      <c r="F86" s="50">
        <f>0+3+18</f>
        <v>21</v>
      </c>
      <c r="G86" s="50">
        <f>0+9+6</f>
        <v>15</v>
      </c>
      <c r="H86" s="120"/>
      <c r="I86" s="50"/>
      <c r="J86" s="50"/>
      <c r="K86" s="50"/>
      <c r="L86" s="50">
        <f>50</f>
        <v>50</v>
      </c>
      <c r="M86" s="50">
        <f>36</f>
        <v>36</v>
      </c>
      <c r="N86" s="50"/>
      <c r="O86" s="120"/>
      <c r="P86" s="96">
        <f>SUM(J86:N86)</f>
        <v>86</v>
      </c>
      <c r="Q86" s="97">
        <f>IF(C86=2011, P86/3,P86)+O86</f>
        <v>28.666666666666668</v>
      </c>
      <c r="R86" s="101"/>
      <c r="S86" s="41"/>
      <c r="T86" s="41"/>
      <c r="U86" s="41"/>
      <c r="V86" s="41"/>
      <c r="W86" s="41"/>
      <c r="X86" s="41"/>
      <c r="Z86" s="95"/>
      <c r="AA86" s="96"/>
      <c r="AB86" s="97"/>
    </row>
    <row r="87" spans="1:47" s="52" customFormat="1" x14ac:dyDescent="0.25">
      <c r="A87" s="71" t="s">
        <v>329</v>
      </c>
      <c r="B87" s="71" t="s">
        <v>233</v>
      </c>
      <c r="C87" s="72">
        <v>2011</v>
      </c>
      <c r="D87" s="1">
        <f>Q87+G87+F87+H87+E87</f>
        <v>51.333333333333336</v>
      </c>
      <c r="E87" s="177"/>
      <c r="F87" s="50"/>
      <c r="G87" s="50"/>
      <c r="H87" s="120"/>
      <c r="I87" s="182"/>
      <c r="J87" s="50"/>
      <c r="K87" s="50"/>
      <c r="L87" s="50"/>
      <c r="M87" s="50"/>
      <c r="N87" s="50">
        <f>AB87</f>
        <v>154</v>
      </c>
      <c r="O87" s="120"/>
      <c r="P87" s="96">
        <f>SUM(J87:N87)</f>
        <v>154</v>
      </c>
      <c r="Q87" s="97">
        <f>IF(C87=2011, P87/3,P87)+O87</f>
        <v>51.333333333333336</v>
      </c>
      <c r="R87" s="22"/>
      <c r="S87" s="182"/>
      <c r="T87" s="182"/>
      <c r="U87" s="182"/>
      <c r="V87" s="182">
        <f>75</f>
        <v>75</v>
      </c>
      <c r="W87" s="182"/>
      <c r="X87" s="182">
        <f>51</f>
        <v>51</v>
      </c>
      <c r="Y87" s="36">
        <f>28</f>
        <v>28</v>
      </c>
      <c r="Z87" s="95"/>
      <c r="AA87" s="96">
        <f>SUM(S87:Y87)</f>
        <v>154</v>
      </c>
      <c r="AB87" s="97">
        <f>IF(C87=2015, AA87/3,AA87)+Z87</f>
        <v>154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 x14ac:dyDescent="0.25">
      <c r="A88" s="60" t="s">
        <v>384</v>
      </c>
      <c r="B88" s="65" t="s">
        <v>383</v>
      </c>
      <c r="C88" s="62">
        <v>2009</v>
      </c>
      <c r="D88" s="1">
        <f>Q88+G88+F88+H88+E88</f>
        <v>2</v>
      </c>
      <c r="E88" s="177"/>
      <c r="F88" s="50"/>
      <c r="G88" s="50"/>
      <c r="H88" s="120"/>
      <c r="I88" s="22"/>
      <c r="J88" s="50"/>
      <c r="K88" s="50"/>
      <c r="L88" s="50"/>
      <c r="M88" s="50"/>
      <c r="N88" s="50">
        <f>AB88</f>
        <v>2</v>
      </c>
      <c r="O88" s="120"/>
      <c r="P88" s="96">
        <f>SUM(J88:N88)</f>
        <v>2</v>
      </c>
      <c r="Q88" s="97">
        <f>IF(C88=2011, P88/3,P88)+O88</f>
        <v>2</v>
      </c>
      <c r="R88" s="22"/>
      <c r="V88" s="13">
        <f>2</f>
        <v>2</v>
      </c>
      <c r="Z88" s="95"/>
      <c r="AA88" s="96">
        <f>SUM(S88:Y88)</f>
        <v>2</v>
      </c>
      <c r="AB88" s="97">
        <f>IF(C88=2010, AA88/3,AA88)+Z88</f>
        <v>2</v>
      </c>
    </row>
    <row r="89" spans="1:47" s="52" customFormat="1" x14ac:dyDescent="0.25">
      <c r="A89" s="60" t="s">
        <v>580</v>
      </c>
      <c r="B89" s="65" t="s">
        <v>64</v>
      </c>
      <c r="C89" s="62">
        <v>2009</v>
      </c>
      <c r="D89" s="1">
        <f>Q89+G89+F89+H89+E89</f>
        <v>27</v>
      </c>
      <c r="E89" s="177">
        <f>0+3+3</f>
        <v>6</v>
      </c>
      <c r="F89" s="50"/>
      <c r="G89" s="50">
        <f>21</f>
        <v>21</v>
      </c>
      <c r="H89" s="120"/>
      <c r="I89" s="22"/>
      <c r="J89" s="50"/>
      <c r="K89" s="50"/>
      <c r="L89" s="50"/>
      <c r="M89" s="50">
        <f>0</f>
        <v>0</v>
      </c>
      <c r="N89" s="50"/>
      <c r="O89" s="120"/>
      <c r="P89" s="96">
        <f>SUM(J89:N89)</f>
        <v>0</v>
      </c>
      <c r="Q89" s="97">
        <f>IF(C89=2011, P89/3,P89)+O89</f>
        <v>0</v>
      </c>
      <c r="R89" s="22"/>
      <c r="S89" s="13"/>
      <c r="T89" s="13"/>
      <c r="U89" s="13"/>
      <c r="V89" s="13"/>
      <c r="W89" s="13"/>
      <c r="X89" s="13"/>
      <c r="Y89" s="13"/>
      <c r="Z89" s="95"/>
      <c r="AA89" s="96"/>
      <c r="AB89" s="97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1:47" x14ac:dyDescent="0.25">
      <c r="A90" s="60" t="s">
        <v>166</v>
      </c>
      <c r="B90" s="65" t="s">
        <v>112</v>
      </c>
      <c r="C90" s="62">
        <v>2008</v>
      </c>
      <c r="D90" s="1">
        <f>Q90+G90+F90+H90+E90</f>
        <v>129</v>
      </c>
      <c r="E90" s="177"/>
      <c r="F90" s="50"/>
      <c r="G90" s="50"/>
      <c r="H90" s="120"/>
      <c r="I90" s="22"/>
      <c r="J90" s="50"/>
      <c r="K90" s="50">
        <f>22+21</f>
        <v>43</v>
      </c>
      <c r="L90" s="50">
        <f>36</f>
        <v>36</v>
      </c>
      <c r="M90" s="50"/>
      <c r="N90" s="50">
        <f>AB90</f>
        <v>50</v>
      </c>
      <c r="O90" s="120"/>
      <c r="P90" s="96">
        <f>SUM(J90:N90)</f>
        <v>129</v>
      </c>
      <c r="Q90" s="97">
        <f>IF(C90=2011, P90/3,P90)+O90</f>
        <v>129</v>
      </c>
      <c r="R90" s="22"/>
      <c r="T90" s="13">
        <f>15+1</f>
        <v>16</v>
      </c>
      <c r="V90" s="13">
        <f>17+5</f>
        <v>22</v>
      </c>
      <c r="W90" s="13">
        <f>9+3</f>
        <v>12</v>
      </c>
      <c r="Z90" s="95"/>
      <c r="AA90" s="96">
        <f>SUM(S90:Y90)</f>
        <v>50</v>
      </c>
      <c r="AB90" s="97">
        <f>IF(C90=2010, AA90/3,AA90)+Z90</f>
        <v>50</v>
      </c>
    </row>
    <row r="91" spans="1:47" s="52" customFormat="1" x14ac:dyDescent="0.25">
      <c r="A91" s="126" t="s">
        <v>179</v>
      </c>
      <c r="B91" s="65" t="s">
        <v>87</v>
      </c>
      <c r="C91" s="62">
        <v>2009</v>
      </c>
      <c r="D91" s="1">
        <f>Q91+G91+F91+H91+E91</f>
        <v>59</v>
      </c>
      <c r="E91" s="177"/>
      <c r="F91" s="50"/>
      <c r="G91" s="50"/>
      <c r="H91" s="120"/>
      <c r="I91" s="22"/>
      <c r="J91" s="50"/>
      <c r="K91" s="50"/>
      <c r="L91" s="50"/>
      <c r="M91" s="50"/>
      <c r="N91" s="50">
        <f>AB91</f>
        <v>59</v>
      </c>
      <c r="O91" s="120"/>
      <c r="P91" s="96">
        <f>SUM(J91:N91)</f>
        <v>59</v>
      </c>
      <c r="Q91" s="97">
        <f>IF(C91=2011, P91/3,P91)+O91</f>
        <v>59</v>
      </c>
      <c r="R91" s="22"/>
      <c r="S91" s="13"/>
      <c r="T91" s="13">
        <v>15</v>
      </c>
      <c r="U91" s="13"/>
      <c r="V91" s="13"/>
      <c r="W91" s="13"/>
      <c r="X91" s="13">
        <f>27</f>
        <v>27</v>
      </c>
      <c r="Y91" s="17">
        <f>14</f>
        <v>14</v>
      </c>
      <c r="Z91" s="95">
        <f>3</f>
        <v>3</v>
      </c>
      <c r="AA91" s="96">
        <f>SUM(S91:Y91)</f>
        <v>56</v>
      </c>
      <c r="AB91" s="97">
        <f>IF(C91=2010, AA91/3,AA91)+Z91</f>
        <v>59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s="52" customFormat="1" x14ac:dyDescent="0.25">
      <c r="A92" s="61" t="s">
        <v>685</v>
      </c>
      <c r="B92" s="85" t="s">
        <v>64</v>
      </c>
      <c r="C92" s="63">
        <v>2008</v>
      </c>
      <c r="D92" s="1">
        <f>Q92+G92+F92+H92+E92</f>
        <v>12</v>
      </c>
      <c r="E92" s="177"/>
      <c r="F92" s="50"/>
      <c r="G92" s="50"/>
      <c r="H92" s="120"/>
      <c r="I92" s="22"/>
      <c r="J92" s="50"/>
      <c r="K92" s="50"/>
      <c r="L92" s="50"/>
      <c r="M92" s="50"/>
      <c r="N92" s="50">
        <f>AB92</f>
        <v>12</v>
      </c>
      <c r="O92" s="120"/>
      <c r="P92" s="96">
        <f>SUM(J92:N92)</f>
        <v>12</v>
      </c>
      <c r="Q92" s="97">
        <f>IF(C92=2011, P92/3,P92)+O92</f>
        <v>12</v>
      </c>
      <c r="R92" s="22"/>
      <c r="S92" s="13"/>
      <c r="T92" s="13">
        <v>4</v>
      </c>
      <c r="U92" s="13"/>
      <c r="V92" s="13"/>
      <c r="W92" s="13"/>
      <c r="X92" s="13"/>
      <c r="Y92" s="13">
        <f>8</f>
        <v>8</v>
      </c>
      <c r="Z92" s="95"/>
      <c r="AA92" s="96">
        <f>SUM(S92:Y92)</f>
        <v>12</v>
      </c>
      <c r="AB92" s="97">
        <f>IF(C92=2010, AA92/3,AA92)+Z92</f>
        <v>12</v>
      </c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s="52" customFormat="1" ht="14.25" customHeight="1" x14ac:dyDescent="0.25">
      <c r="A93" s="60" t="s">
        <v>531</v>
      </c>
      <c r="B93" s="65" t="s">
        <v>7</v>
      </c>
      <c r="C93" s="62">
        <v>2008</v>
      </c>
      <c r="D93" s="1">
        <f>Q93+G93+F93+H93+E93</f>
        <v>7</v>
      </c>
      <c r="E93" s="177"/>
      <c r="F93" s="50"/>
      <c r="G93" s="50"/>
      <c r="H93" s="120"/>
      <c r="I93" s="22"/>
      <c r="J93" s="50"/>
      <c r="K93" s="50">
        <f>5</f>
        <v>5</v>
      </c>
      <c r="L93" s="50"/>
      <c r="M93" s="50">
        <f>0</f>
        <v>0</v>
      </c>
      <c r="N93" s="50">
        <f>AB93</f>
        <v>2</v>
      </c>
      <c r="O93" s="120"/>
      <c r="P93" s="96">
        <f>SUM(J93:N93)</f>
        <v>7</v>
      </c>
      <c r="Q93" s="97">
        <f>IF(C93=2011, P93/3,P93)+O93</f>
        <v>7</v>
      </c>
      <c r="R93" s="22"/>
      <c r="S93" s="13"/>
      <c r="T93" s="13"/>
      <c r="U93" s="13"/>
      <c r="V93" s="13"/>
      <c r="W93" s="13"/>
      <c r="X93" s="13">
        <f>2</f>
        <v>2</v>
      </c>
      <c r="Y93" s="13"/>
      <c r="Z93" s="95"/>
      <c r="AA93" s="96">
        <f>SUM(S93:Y93)</f>
        <v>2</v>
      </c>
      <c r="AB93" s="97">
        <f>IF(C93=2010, AA93/3,AA93)+Z93</f>
        <v>2</v>
      </c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 s="52" customFormat="1" ht="14.25" customHeight="1" x14ac:dyDescent="0.25">
      <c r="A94" s="51" t="s">
        <v>22</v>
      </c>
      <c r="B94" s="19" t="s">
        <v>36</v>
      </c>
      <c r="C94" s="52">
        <v>2008</v>
      </c>
      <c r="D94" s="1">
        <f>Q94+G94+F94+H94+E94</f>
        <v>226</v>
      </c>
      <c r="E94" s="177"/>
      <c r="F94" s="50"/>
      <c r="G94" s="50"/>
      <c r="H94" s="120"/>
      <c r="I94" s="22"/>
      <c r="J94" s="50">
        <f>34</f>
        <v>34</v>
      </c>
      <c r="K94" s="50">
        <f>28</f>
        <v>28</v>
      </c>
      <c r="L94" s="50">
        <f>22</f>
        <v>22</v>
      </c>
      <c r="M94" s="50">
        <f>14</f>
        <v>14</v>
      </c>
      <c r="N94" s="50">
        <f>AB94</f>
        <v>128</v>
      </c>
      <c r="O94" s="120"/>
      <c r="P94" s="96">
        <f>SUM(J94:N94)</f>
        <v>226</v>
      </c>
      <c r="Q94" s="97">
        <f>IF(C94=2011, P94/3,P94)+O94</f>
        <v>226</v>
      </c>
      <c r="R94" s="22"/>
      <c r="S94" s="50">
        <f>0</f>
        <v>0</v>
      </c>
      <c r="T94" s="50"/>
      <c r="U94" s="50">
        <f>15</f>
        <v>15</v>
      </c>
      <c r="V94" s="50">
        <f>24</f>
        <v>24</v>
      </c>
      <c r="W94" s="50">
        <f>12</f>
        <v>12</v>
      </c>
      <c r="X94" s="50">
        <f>20+4</f>
        <v>24</v>
      </c>
      <c r="Y94" s="50">
        <v>53</v>
      </c>
      <c r="Z94" s="95"/>
      <c r="AA94" s="96">
        <f>SUM(S94:Y94)</f>
        <v>128</v>
      </c>
      <c r="AB94" s="97">
        <f>IF(C94=2010, AA94/3,AA94)+Z94</f>
        <v>128</v>
      </c>
    </row>
    <row r="95" spans="1:47" s="52" customFormat="1" x14ac:dyDescent="0.25">
      <c r="A95" s="51" t="s">
        <v>764</v>
      </c>
      <c r="B95" s="19" t="s">
        <v>63</v>
      </c>
      <c r="C95" s="52">
        <v>2008</v>
      </c>
      <c r="D95" s="1">
        <f>Q95+G95+F95+H95+E95</f>
        <v>197</v>
      </c>
      <c r="E95" s="177">
        <f>24+3+6</f>
        <v>33</v>
      </c>
      <c r="F95" s="50">
        <f>44+4+6</f>
        <v>54</v>
      </c>
      <c r="G95" s="50">
        <f>32+8+9</f>
        <v>49</v>
      </c>
      <c r="H95" s="120"/>
      <c r="I95" s="22"/>
      <c r="J95" s="50"/>
      <c r="K95" s="50"/>
      <c r="L95" s="50"/>
      <c r="M95" s="50"/>
      <c r="N95" s="50">
        <f>61</f>
        <v>61</v>
      </c>
      <c r="O95" s="120"/>
      <c r="P95" s="96">
        <f>SUM(J95:N95)</f>
        <v>61</v>
      </c>
      <c r="Q95" s="97">
        <f>IF(C95=2011, P95/3,P95)+O95</f>
        <v>61</v>
      </c>
      <c r="R95" s="22"/>
      <c r="S95" s="182"/>
      <c r="T95" s="182"/>
      <c r="U95" s="182"/>
      <c r="V95" s="182"/>
      <c r="W95" s="182"/>
      <c r="X95" s="182"/>
      <c r="Y95" s="182"/>
      <c r="Z95" s="95"/>
      <c r="AA95" s="96"/>
      <c r="AB95" s="97"/>
    </row>
    <row r="96" spans="1:47" x14ac:dyDescent="0.25">
      <c r="A96" s="45" t="s">
        <v>594</v>
      </c>
      <c r="B96" s="66" t="s">
        <v>590</v>
      </c>
      <c r="C96" s="46">
        <v>2011</v>
      </c>
      <c r="D96" s="1">
        <f>Q96+G96+F96+H96+E96</f>
        <v>6</v>
      </c>
      <c r="E96" s="177"/>
      <c r="F96" s="50"/>
      <c r="G96" s="50">
        <f>3</f>
        <v>3</v>
      </c>
      <c r="H96" s="120"/>
      <c r="I96" s="182"/>
      <c r="J96" s="50"/>
      <c r="K96" s="50"/>
      <c r="L96" s="50"/>
      <c r="M96" s="50">
        <f>0</f>
        <v>0</v>
      </c>
      <c r="N96" s="50"/>
      <c r="O96" s="120">
        <f>3</f>
        <v>3</v>
      </c>
      <c r="P96" s="96">
        <f>SUM(J96:N96)</f>
        <v>0</v>
      </c>
      <c r="Q96" s="97">
        <f>IF(C96=2011, P96/3,P96)+O96</f>
        <v>3</v>
      </c>
      <c r="R96" s="101"/>
      <c r="S96" s="41"/>
      <c r="T96" s="41"/>
      <c r="U96" s="41"/>
      <c r="V96" s="41"/>
      <c r="W96" s="41"/>
      <c r="X96" s="41"/>
      <c r="Z96" s="95"/>
      <c r="AA96" s="96"/>
      <c r="AB96" s="97"/>
    </row>
    <row r="97" spans="1:47" x14ac:dyDescent="0.25">
      <c r="A97" s="60" t="s">
        <v>504</v>
      </c>
      <c r="B97" s="65" t="s">
        <v>301</v>
      </c>
      <c r="C97" s="62">
        <v>2008</v>
      </c>
      <c r="D97" s="1">
        <f>Q97+G97+F97+H97+E97</f>
        <v>3</v>
      </c>
      <c r="E97" s="177"/>
      <c r="F97" s="50"/>
      <c r="G97" s="50"/>
      <c r="H97" s="120"/>
      <c r="I97" s="22"/>
      <c r="J97" s="50"/>
      <c r="K97" s="50"/>
      <c r="L97" s="50"/>
      <c r="M97" s="50"/>
      <c r="N97" s="50">
        <f>AB97</f>
        <v>3</v>
      </c>
      <c r="O97" s="120"/>
      <c r="P97" s="96">
        <f>SUM(J97:N97)</f>
        <v>3</v>
      </c>
      <c r="Q97" s="97">
        <f>IF(C97=2011, P97/3,P97)+O97</f>
        <v>3</v>
      </c>
      <c r="R97" s="22"/>
      <c r="X97" s="13">
        <f>3</f>
        <v>3</v>
      </c>
      <c r="Z97" s="95"/>
      <c r="AA97" s="96">
        <f>SUM(S97:Y97)</f>
        <v>3</v>
      </c>
      <c r="AB97" s="97">
        <f>IF(C97=2010, AA97/3,AA97)+Z97</f>
        <v>3</v>
      </c>
    </row>
    <row r="98" spans="1:47" s="52" customFormat="1" x14ac:dyDescent="0.25">
      <c r="A98" s="60" t="s">
        <v>183</v>
      </c>
      <c r="B98" s="65" t="s">
        <v>63</v>
      </c>
      <c r="C98" s="62">
        <v>2008</v>
      </c>
      <c r="D98" s="1">
        <f>Q98+G98+F98+H98+E98</f>
        <v>0</v>
      </c>
      <c r="E98" s="177"/>
      <c r="F98" s="50"/>
      <c r="G98" s="50"/>
      <c r="H98" s="120"/>
      <c r="I98" s="22"/>
      <c r="J98" s="50"/>
      <c r="K98" s="50"/>
      <c r="L98" s="50"/>
      <c r="M98" s="50"/>
      <c r="N98" s="50">
        <f>AB98</f>
        <v>0</v>
      </c>
      <c r="O98" s="120"/>
      <c r="P98" s="96">
        <f>SUM(J98:N98)</f>
        <v>0</v>
      </c>
      <c r="Q98" s="97">
        <f>IF(C98=2011, P98/3,P98)+O98</f>
        <v>0</v>
      </c>
      <c r="R98" s="22"/>
      <c r="S98" s="13"/>
      <c r="T98" s="13">
        <v>0</v>
      </c>
      <c r="U98" s="13"/>
      <c r="V98" s="13">
        <f>0</f>
        <v>0</v>
      </c>
      <c r="W98" s="13"/>
      <c r="X98" s="13"/>
      <c r="Y98" s="13"/>
      <c r="Z98" s="95"/>
      <c r="AA98" s="96">
        <f>SUM(S98:Y98)</f>
        <v>0</v>
      </c>
      <c r="AB98" s="97">
        <f>IF(C98=2010, AA98/3,AA98)+Z98</f>
        <v>0</v>
      </c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 s="52" customFormat="1" x14ac:dyDescent="0.25">
      <c r="A99" s="51" t="s">
        <v>25</v>
      </c>
      <c r="B99" s="51" t="s">
        <v>23</v>
      </c>
      <c r="C99" s="52">
        <v>2011</v>
      </c>
      <c r="D99" s="1">
        <f>Q99+G99+F99+H99+E99</f>
        <v>93.666666666666671</v>
      </c>
      <c r="E99" s="177"/>
      <c r="F99" s="50"/>
      <c r="G99" s="50"/>
      <c r="H99" s="120"/>
      <c r="I99" s="182"/>
      <c r="J99" s="50"/>
      <c r="K99" s="50"/>
      <c r="L99" s="50">
        <f>66+57</f>
        <v>123</v>
      </c>
      <c r="M99" s="50"/>
      <c r="N99" s="50">
        <f>AB99</f>
        <v>158</v>
      </c>
      <c r="O99" s="120"/>
      <c r="P99" s="96">
        <f>SUM(J99:N99)</f>
        <v>281</v>
      </c>
      <c r="Q99" s="97">
        <f>IF(C99=2011, P99/3,P99)+O99</f>
        <v>93.666666666666671</v>
      </c>
      <c r="R99" s="22"/>
      <c r="S99" s="182">
        <f>11</f>
        <v>11</v>
      </c>
      <c r="T99" s="182"/>
      <c r="U99" s="182"/>
      <c r="V99" s="182"/>
      <c r="W99" s="182"/>
      <c r="X99" s="182"/>
      <c r="Y99" s="182">
        <v>147</v>
      </c>
      <c r="Z99" s="95"/>
      <c r="AA99" s="96">
        <f>SUM(S99:Y99)</f>
        <v>158</v>
      </c>
      <c r="AB99" s="97">
        <f>IF(C99=2015, AA99/3,AA99)+Z99</f>
        <v>158</v>
      </c>
      <c r="AD99" s="5"/>
    </row>
    <row r="100" spans="1:47" x14ac:dyDescent="0.25">
      <c r="A100" s="60" t="s">
        <v>507</v>
      </c>
      <c r="B100" s="65" t="s">
        <v>7</v>
      </c>
      <c r="C100" s="62">
        <v>2008</v>
      </c>
      <c r="D100" s="1">
        <f>Q100+G100+F100+H100+E100</f>
        <v>36</v>
      </c>
      <c r="E100" s="177"/>
      <c r="F100" s="50"/>
      <c r="G100" s="50"/>
      <c r="H100" s="120"/>
      <c r="I100" s="22"/>
      <c r="J100" s="50"/>
      <c r="K100" s="50">
        <f>5</f>
        <v>5</v>
      </c>
      <c r="L100" s="50">
        <f>10</f>
        <v>10</v>
      </c>
      <c r="M100" s="50">
        <f>16</f>
        <v>16</v>
      </c>
      <c r="N100" s="50">
        <f>AB100</f>
        <v>5</v>
      </c>
      <c r="O100" s="120"/>
      <c r="P100" s="96">
        <f>SUM(J100:N100)</f>
        <v>36</v>
      </c>
      <c r="Q100" s="97">
        <f>IF(C100=2011, P100/3,P100)+O100</f>
        <v>36</v>
      </c>
      <c r="R100" s="22"/>
      <c r="X100" s="13">
        <f>3+2</f>
        <v>5</v>
      </c>
      <c r="Z100" s="95"/>
      <c r="AA100" s="96">
        <f>SUM(S100:Y100)</f>
        <v>5</v>
      </c>
      <c r="AB100" s="97">
        <f>IF(C100=2010, AA100/3,AA100)+Z100</f>
        <v>5</v>
      </c>
    </row>
    <row r="101" spans="1:47" x14ac:dyDescent="0.25">
      <c r="A101" s="60" t="s">
        <v>653</v>
      </c>
      <c r="B101" s="60" t="s">
        <v>112</v>
      </c>
      <c r="C101" s="62"/>
      <c r="D101" s="1">
        <f>Q101+G101+F101+H101+E101</f>
        <v>52.666666666666664</v>
      </c>
      <c r="E101" s="177"/>
      <c r="F101" s="50"/>
      <c r="G101" s="50"/>
      <c r="H101" s="120"/>
      <c r="I101" s="22"/>
      <c r="J101" s="50"/>
      <c r="K101" s="50"/>
      <c r="L101" s="50">
        <f>10</f>
        <v>10</v>
      </c>
      <c r="M101" s="50"/>
      <c r="N101" s="50">
        <f>128/3</f>
        <v>42.666666666666664</v>
      </c>
      <c r="O101" s="120"/>
      <c r="P101" s="96">
        <f>SUM(J101:N101)</f>
        <v>52.666666666666664</v>
      </c>
      <c r="Q101" s="97">
        <f>IF(C101=2011, P101/3,P101)+O101</f>
        <v>52.666666666666664</v>
      </c>
      <c r="R101" s="22"/>
      <c r="Z101" s="95"/>
      <c r="AA101" s="96"/>
      <c r="AB101" s="97"/>
    </row>
    <row r="102" spans="1:47" x14ac:dyDescent="0.25">
      <c r="A102" s="60" t="s">
        <v>508</v>
      </c>
      <c r="B102" s="65" t="s">
        <v>63</v>
      </c>
      <c r="C102" s="62">
        <v>2009</v>
      </c>
      <c r="D102" s="1">
        <f>Q102+G102+F102+H102+E102</f>
        <v>100</v>
      </c>
      <c r="E102" s="177">
        <f>6</f>
        <v>6</v>
      </c>
      <c r="F102" s="50">
        <f>0+6</f>
        <v>6</v>
      </c>
      <c r="G102" s="50">
        <f>0+9</f>
        <v>9</v>
      </c>
      <c r="H102" s="120"/>
      <c r="I102" s="22"/>
      <c r="J102" s="50">
        <f>24</f>
        <v>24</v>
      </c>
      <c r="K102" s="50"/>
      <c r="L102" s="50">
        <f>14</f>
        <v>14</v>
      </c>
      <c r="M102" s="50">
        <f>4</f>
        <v>4</v>
      </c>
      <c r="N102" s="50">
        <f>AB102</f>
        <v>34</v>
      </c>
      <c r="O102" s="120">
        <f>3</f>
        <v>3</v>
      </c>
      <c r="P102" s="96">
        <f>SUM(J102:N102)</f>
        <v>76</v>
      </c>
      <c r="Q102" s="97">
        <f>IF(C102=2011, P102/3,P102)+O102</f>
        <v>79</v>
      </c>
      <c r="R102" s="22"/>
      <c r="X102" s="13">
        <f>3</f>
        <v>3</v>
      </c>
      <c r="Y102" s="13">
        <f>25</f>
        <v>25</v>
      </c>
      <c r="Z102" s="95">
        <f>6</f>
        <v>6</v>
      </c>
      <c r="AA102" s="96">
        <f>SUM(S102:Y102)</f>
        <v>28</v>
      </c>
      <c r="AB102" s="97">
        <f>IF(C102=2010, AA102/3,AA102)+Z102</f>
        <v>34</v>
      </c>
    </row>
    <row r="103" spans="1:47" x14ac:dyDescent="0.25">
      <c r="A103" s="11" t="s">
        <v>571</v>
      </c>
      <c r="B103" s="60" t="s">
        <v>64</v>
      </c>
      <c r="C103" s="62">
        <v>2010</v>
      </c>
      <c r="D103" s="1">
        <f>Q103+G103+F103+H103+E103</f>
        <v>94</v>
      </c>
      <c r="E103" s="177"/>
      <c r="F103" s="50">
        <f>51</f>
        <v>51</v>
      </c>
      <c r="G103" s="50">
        <f>18+6</f>
        <v>24</v>
      </c>
      <c r="H103" s="120"/>
      <c r="I103" s="22"/>
      <c r="J103" s="50"/>
      <c r="K103" s="50"/>
      <c r="L103" s="50"/>
      <c r="M103" s="50">
        <f>16+3</f>
        <v>19</v>
      </c>
      <c r="N103" s="50"/>
      <c r="O103" s="120"/>
      <c r="P103" s="96">
        <f>SUM(J103:N103)</f>
        <v>19</v>
      </c>
      <c r="Q103" s="97">
        <f>IF(C103=2011, P103/3,P103)+O103</f>
        <v>19</v>
      </c>
      <c r="R103" s="22"/>
      <c r="S103" s="41"/>
      <c r="T103" s="41"/>
      <c r="U103" s="41"/>
      <c r="V103" s="41"/>
      <c r="W103" s="41"/>
      <c r="X103" s="41"/>
      <c r="Z103" s="95"/>
      <c r="AA103" s="96"/>
      <c r="AB103" s="97"/>
    </row>
    <row r="104" spans="1:47" x14ac:dyDescent="0.25">
      <c r="A104" s="11" t="s">
        <v>571</v>
      </c>
      <c r="B104" s="11" t="s">
        <v>64</v>
      </c>
      <c r="C104" s="3">
        <v>2011</v>
      </c>
      <c r="D104" s="1">
        <f>Q104+G104+F104+H104+E104</f>
        <v>65.666666666666657</v>
      </c>
      <c r="E104" s="177"/>
      <c r="F104" s="50">
        <f>3+18</f>
        <v>21</v>
      </c>
      <c r="G104" s="50">
        <f>9</f>
        <v>9</v>
      </c>
      <c r="H104" s="120"/>
      <c r="I104" s="182"/>
      <c r="J104" s="50"/>
      <c r="K104" s="50">
        <f>45</f>
        <v>45</v>
      </c>
      <c r="L104" s="50">
        <f>62</f>
        <v>62</v>
      </c>
      <c r="M104" s="50"/>
      <c r="N104" s="50"/>
      <c r="O104" s="120"/>
      <c r="P104" s="96">
        <f>SUM(J104:N104)</f>
        <v>107</v>
      </c>
      <c r="Q104" s="97">
        <f>IF(C104=2011, P104/3,P104)+O104</f>
        <v>35.666666666666664</v>
      </c>
      <c r="R104" s="22"/>
      <c r="S104" s="182"/>
      <c r="T104" s="182"/>
      <c r="U104" s="182"/>
      <c r="V104" s="182"/>
      <c r="W104" s="182"/>
      <c r="X104" s="182"/>
      <c r="Y104" s="36"/>
      <c r="Z104" s="95"/>
      <c r="AA104" s="96"/>
      <c r="AB104" s="97"/>
    </row>
    <row r="105" spans="1:47" x14ac:dyDescent="0.25">
      <c r="A105" s="11" t="s">
        <v>602</v>
      </c>
      <c r="B105" s="60" t="s">
        <v>590</v>
      </c>
      <c r="C105" s="62">
        <v>2009</v>
      </c>
      <c r="D105" s="1">
        <f>Q105+G105+F105+H105+E105</f>
        <v>3</v>
      </c>
      <c r="E105" s="177"/>
      <c r="F105" s="50"/>
      <c r="G105" s="50"/>
      <c r="H105" s="120"/>
      <c r="I105" s="22"/>
      <c r="J105" s="50"/>
      <c r="K105" s="50"/>
      <c r="L105" s="50"/>
      <c r="M105" s="50">
        <f>3</f>
        <v>3</v>
      </c>
      <c r="N105" s="50"/>
      <c r="O105" s="120"/>
      <c r="P105" s="96">
        <f>SUM(J105:N105)</f>
        <v>3</v>
      </c>
      <c r="Q105" s="97">
        <f>IF(C105=2011, P105/3,P105)+O105</f>
        <v>3</v>
      </c>
      <c r="R105" s="22"/>
      <c r="S105" s="41"/>
      <c r="T105" s="41"/>
      <c r="U105" s="41"/>
      <c r="V105" s="41"/>
      <c r="W105" s="41"/>
      <c r="X105" s="41"/>
      <c r="Z105" s="95"/>
      <c r="AA105" s="96"/>
      <c r="AB105" s="97"/>
    </row>
    <row r="106" spans="1:47" x14ac:dyDescent="0.25">
      <c r="A106" s="11" t="s">
        <v>671</v>
      </c>
      <c r="B106" s="60" t="s">
        <v>667</v>
      </c>
      <c r="C106" s="62"/>
      <c r="D106" s="1">
        <f>Q106+G106+F106+H106+E106</f>
        <v>90</v>
      </c>
      <c r="E106" s="177"/>
      <c r="F106" s="50"/>
      <c r="G106" s="50"/>
      <c r="H106" s="120"/>
      <c r="I106" s="22"/>
      <c r="J106" s="50"/>
      <c r="K106" s="50"/>
      <c r="L106" s="50">
        <f>90</f>
        <v>90</v>
      </c>
      <c r="M106" s="50"/>
      <c r="N106" s="50"/>
      <c r="O106" s="120"/>
      <c r="P106" s="96">
        <f>SUM(J106:N106)</f>
        <v>90</v>
      </c>
      <c r="Q106" s="97">
        <f>IF(C106=2011, P106/3,P106)+O106</f>
        <v>90</v>
      </c>
      <c r="R106" s="22"/>
      <c r="S106" s="41"/>
      <c r="T106" s="41"/>
      <c r="U106" s="41"/>
      <c r="V106" s="41"/>
      <c r="W106" s="41"/>
      <c r="X106" s="41"/>
      <c r="Z106" s="95"/>
      <c r="AA106" s="96"/>
      <c r="AB106" s="97"/>
    </row>
    <row r="107" spans="1:47" x14ac:dyDescent="0.25">
      <c r="A107" s="11" t="s">
        <v>144</v>
      </c>
      <c r="B107" s="60" t="s">
        <v>112</v>
      </c>
      <c r="C107" s="62">
        <v>2010</v>
      </c>
      <c r="D107" s="1">
        <f>Q107+G107+F107+H107+E107</f>
        <v>136.33333333333331</v>
      </c>
      <c r="E107" s="177"/>
      <c r="F107" s="50"/>
      <c r="G107" s="50"/>
      <c r="H107" s="120"/>
      <c r="I107" s="22"/>
      <c r="J107" s="50"/>
      <c r="K107" s="50">
        <f>22</f>
        <v>22</v>
      </c>
      <c r="L107" s="50">
        <f>41+8</f>
        <v>49</v>
      </c>
      <c r="M107" s="50"/>
      <c r="N107" s="50">
        <f>AB107</f>
        <v>65.333333333333329</v>
      </c>
      <c r="O107" s="120"/>
      <c r="P107" s="96">
        <f>SUM(J107:N107)</f>
        <v>136.33333333333331</v>
      </c>
      <c r="Q107" s="97">
        <f>IF(C107=2011, P107/3,P107)+O107</f>
        <v>136.33333333333331</v>
      </c>
      <c r="R107" s="22"/>
      <c r="S107" s="41"/>
      <c r="T107" s="41">
        <f>0+5</f>
        <v>5</v>
      </c>
      <c r="U107" s="41"/>
      <c r="V107" s="41">
        <f>45+6</f>
        <v>51</v>
      </c>
      <c r="W107" s="41">
        <f>48+15</f>
        <v>63</v>
      </c>
      <c r="X107" s="41">
        <f>47+30</f>
        <v>77</v>
      </c>
      <c r="Z107" s="95"/>
      <c r="AA107" s="96">
        <f>SUM(S107:Y107)</f>
        <v>196</v>
      </c>
      <c r="AB107" s="97">
        <f>IF(C107=2010, AA107/3,AA107)+Z107</f>
        <v>65.333333333333329</v>
      </c>
    </row>
    <row r="108" spans="1:47" x14ac:dyDescent="0.25">
      <c r="A108" s="11" t="s">
        <v>704</v>
      </c>
      <c r="B108" s="60" t="s">
        <v>233</v>
      </c>
      <c r="C108" s="62">
        <v>2008</v>
      </c>
      <c r="D108" s="1">
        <f>Q108+G108+F108+H108+E108</f>
        <v>107</v>
      </c>
      <c r="E108" s="177"/>
      <c r="F108" s="50"/>
      <c r="G108" s="50">
        <f>46</f>
        <v>46</v>
      </c>
      <c r="H108" s="120"/>
      <c r="I108" s="22"/>
      <c r="J108" s="50">
        <f>36</f>
        <v>36</v>
      </c>
      <c r="K108" s="50">
        <f>25</f>
        <v>25</v>
      </c>
      <c r="L108" s="50"/>
      <c r="M108" s="50"/>
      <c r="N108" s="50"/>
      <c r="O108" s="120"/>
      <c r="P108" s="96">
        <f>SUM(J108:N108)</f>
        <v>61</v>
      </c>
      <c r="Q108" s="97">
        <f>IF(C108=2011, P108/3,P108)+O108</f>
        <v>61</v>
      </c>
      <c r="R108" s="22"/>
      <c r="S108" s="41"/>
      <c r="T108" s="41"/>
      <c r="U108" s="41"/>
      <c r="V108" s="41"/>
      <c r="W108" s="41"/>
      <c r="X108" s="41"/>
      <c r="Z108" s="95"/>
      <c r="AA108" s="96"/>
      <c r="AB108" s="97"/>
    </row>
    <row r="109" spans="1:47" x14ac:dyDescent="0.25">
      <c r="A109" s="11" t="s">
        <v>716</v>
      </c>
      <c r="B109" s="60" t="s">
        <v>535</v>
      </c>
      <c r="C109" s="62">
        <v>2009</v>
      </c>
      <c r="D109" s="1">
        <f>Q109+G109+F109+H109+E109</f>
        <v>9</v>
      </c>
      <c r="E109" s="177"/>
      <c r="F109" s="50"/>
      <c r="G109" s="50"/>
      <c r="H109" s="120"/>
      <c r="I109" s="22"/>
      <c r="J109" s="50"/>
      <c r="K109" s="50">
        <f>9</f>
        <v>9</v>
      </c>
      <c r="L109" s="50"/>
      <c r="M109" s="50"/>
      <c r="N109" s="50"/>
      <c r="O109" s="120"/>
      <c r="P109" s="96">
        <f>SUM(J109:N109)</f>
        <v>9</v>
      </c>
      <c r="Q109" s="97">
        <f>IF(C109=2011, P109/3,P109)+O109</f>
        <v>9</v>
      </c>
      <c r="R109" s="22"/>
      <c r="S109" s="41"/>
      <c r="T109" s="41"/>
      <c r="U109" s="41"/>
      <c r="V109" s="41"/>
      <c r="W109" s="41"/>
      <c r="X109" s="41"/>
      <c r="Z109" s="95"/>
      <c r="AA109" s="96"/>
      <c r="AB109" s="97"/>
    </row>
    <row r="110" spans="1:47" x14ac:dyDescent="0.25">
      <c r="A110" s="11" t="s">
        <v>92</v>
      </c>
      <c r="B110" s="60" t="s">
        <v>64</v>
      </c>
      <c r="C110" s="62">
        <v>2011</v>
      </c>
      <c r="D110" s="1">
        <f>Q110+G110+F110+H110+E110</f>
        <v>211</v>
      </c>
      <c r="E110" s="177"/>
      <c r="F110" s="50">
        <f>54+9+18</f>
        <v>81</v>
      </c>
      <c r="G110" s="50">
        <f>27+6+6</f>
        <v>39</v>
      </c>
      <c r="H110" s="120"/>
      <c r="I110" s="50"/>
      <c r="J110" s="50"/>
      <c r="K110" s="50">
        <f>69</f>
        <v>69</v>
      </c>
      <c r="L110" s="50">
        <f>90</f>
        <v>90</v>
      </c>
      <c r="M110" s="50">
        <f>60</f>
        <v>60</v>
      </c>
      <c r="N110" s="50">
        <f>AB110</f>
        <v>45</v>
      </c>
      <c r="O110" s="120">
        <f>3</f>
        <v>3</v>
      </c>
      <c r="P110" s="96">
        <f>SUM(J110:N110)</f>
        <v>264</v>
      </c>
      <c r="Q110" s="97">
        <f>IF(C110=2011, P110/3,P110)+O110</f>
        <v>91</v>
      </c>
      <c r="R110" s="22"/>
      <c r="S110" s="50"/>
      <c r="T110" s="50">
        <v>45</v>
      </c>
      <c r="U110" s="50"/>
      <c r="V110" s="50"/>
      <c r="W110" s="50"/>
      <c r="X110" s="50"/>
      <c r="Y110" s="36"/>
      <c r="Z110" s="95"/>
      <c r="AA110" s="96">
        <f>SUM(S110:Y110)</f>
        <v>45</v>
      </c>
      <c r="AB110" s="97">
        <f>IF(C110=2015, AA110/3,AA110)+Z110</f>
        <v>45</v>
      </c>
    </row>
    <row r="111" spans="1:47" x14ac:dyDescent="0.25">
      <c r="A111" s="60" t="s">
        <v>184</v>
      </c>
      <c r="B111" s="65" t="s">
        <v>88</v>
      </c>
      <c r="C111" s="62">
        <v>2008</v>
      </c>
      <c r="D111" s="1">
        <f>Q111+G111+F111+H111+E111</f>
        <v>12</v>
      </c>
      <c r="E111" s="177"/>
      <c r="F111" s="50"/>
      <c r="G111" s="50"/>
      <c r="H111" s="120"/>
      <c r="I111" s="22"/>
      <c r="J111" s="50"/>
      <c r="K111" s="50"/>
      <c r="L111" s="50"/>
      <c r="M111" s="50"/>
      <c r="N111" s="50">
        <f>AB111</f>
        <v>12</v>
      </c>
      <c r="O111" s="120"/>
      <c r="P111" s="96">
        <f>SUM(J111:N111)</f>
        <v>12</v>
      </c>
      <c r="Q111" s="97">
        <f>IF(C111=2011, P111/3,P111)+O111</f>
        <v>12</v>
      </c>
      <c r="R111" s="22"/>
      <c r="T111" s="13">
        <f>12</f>
        <v>12</v>
      </c>
      <c r="Z111" s="95"/>
      <c r="AA111" s="96">
        <f>SUM(S111:Y111)</f>
        <v>12</v>
      </c>
      <c r="AB111" s="97">
        <f>IF(C111=2010, AA111/3,AA111)+Z111</f>
        <v>12</v>
      </c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</row>
    <row r="112" spans="1:47" x14ac:dyDescent="0.25">
      <c r="A112" s="11" t="s">
        <v>481</v>
      </c>
      <c r="B112" s="60" t="s">
        <v>482</v>
      </c>
      <c r="C112" s="62">
        <v>2011</v>
      </c>
      <c r="D112" s="1">
        <f>Q112+G112+F112+H112+E112</f>
        <v>38</v>
      </c>
      <c r="E112" s="177"/>
      <c r="F112" s="50"/>
      <c r="G112" s="50"/>
      <c r="H112" s="120"/>
      <c r="I112" s="182"/>
      <c r="J112" s="50"/>
      <c r="K112" s="50">
        <f>36</f>
        <v>36</v>
      </c>
      <c r="L112" s="50">
        <f>37</f>
        <v>37</v>
      </c>
      <c r="M112" s="50">
        <f>0</f>
        <v>0</v>
      </c>
      <c r="N112" s="50">
        <f>AB112</f>
        <v>17</v>
      </c>
      <c r="O112" s="120">
        <f>5+3</f>
        <v>8</v>
      </c>
      <c r="P112" s="96">
        <f>SUM(J112:N112)</f>
        <v>90</v>
      </c>
      <c r="Q112" s="97">
        <f>IF(C112=2011, P112/3,P112)+O112</f>
        <v>38</v>
      </c>
      <c r="R112" s="22"/>
      <c r="S112" s="182"/>
      <c r="T112" s="182"/>
      <c r="U112" s="182"/>
      <c r="V112" s="182"/>
      <c r="W112" s="182"/>
      <c r="X112" s="182">
        <f>17</f>
        <v>17</v>
      </c>
      <c r="Y112" s="36"/>
      <c r="Z112" s="95"/>
      <c r="AA112" s="96">
        <f>SUM(S112:Y112)</f>
        <v>17</v>
      </c>
      <c r="AB112" s="97">
        <f>IF(C112=2015, AA112/3,AA112)+Z112</f>
        <v>17</v>
      </c>
    </row>
    <row r="113" spans="1:47" x14ac:dyDescent="0.25">
      <c r="A113" s="51" t="s">
        <v>496</v>
      </c>
      <c r="B113" s="51" t="s">
        <v>63</v>
      </c>
      <c r="C113" s="52">
        <v>2011</v>
      </c>
      <c r="D113" s="1">
        <f>Q113+G113+F113+H113+E113</f>
        <v>210</v>
      </c>
      <c r="E113" s="177">
        <f>6+6</f>
        <v>12</v>
      </c>
      <c r="F113" s="50">
        <f>9+6</f>
        <v>15</v>
      </c>
      <c r="G113" s="50">
        <f>9+9</f>
        <v>18</v>
      </c>
      <c r="H113" s="120"/>
      <c r="I113" s="182"/>
      <c r="J113" s="50"/>
      <c r="K113" s="50"/>
      <c r="L113" s="50">
        <f>126+72</f>
        <v>198</v>
      </c>
      <c r="M113" s="50">
        <f>18+54</f>
        <v>72</v>
      </c>
      <c r="N113" s="50">
        <f>AB113</f>
        <v>225</v>
      </c>
      <c r="O113" s="120"/>
      <c r="P113" s="96">
        <f>SUM(J113:N113)</f>
        <v>495</v>
      </c>
      <c r="Q113" s="97">
        <f>IF(C113=2011, P113/3,P113)+O113</f>
        <v>165</v>
      </c>
      <c r="R113" s="22"/>
      <c r="S113" s="182"/>
      <c r="T113" s="182"/>
      <c r="U113" s="182"/>
      <c r="V113" s="182"/>
      <c r="W113" s="182"/>
      <c r="X113" s="182">
        <f>48+60</f>
        <v>108</v>
      </c>
      <c r="Y113" s="154">
        <f>117</f>
        <v>117</v>
      </c>
      <c r="Z113" s="95"/>
      <c r="AA113" s="96">
        <f>SUM(S113:Y113)</f>
        <v>225</v>
      </c>
      <c r="AB113" s="97">
        <f>IF(C113=2015, AA113/3,AA113)+Z113</f>
        <v>225</v>
      </c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</row>
    <row r="114" spans="1:47" x14ac:dyDescent="0.25">
      <c r="A114" s="137" t="s">
        <v>331</v>
      </c>
      <c r="B114" s="51" t="s">
        <v>7</v>
      </c>
      <c r="C114" s="52">
        <v>2010</v>
      </c>
      <c r="D114" s="1">
        <f>Q114+G114+F114+H114+E114</f>
        <v>54.666666666666664</v>
      </c>
      <c r="E114" s="177"/>
      <c r="F114" s="50"/>
      <c r="G114" s="50"/>
      <c r="H114" s="120"/>
      <c r="I114" s="22"/>
      <c r="J114" s="50"/>
      <c r="K114" s="50"/>
      <c r="L114" s="50">
        <f>0</f>
        <v>0</v>
      </c>
      <c r="M114" s="50"/>
      <c r="N114" s="50">
        <f>AB114</f>
        <v>54.666666666666664</v>
      </c>
      <c r="O114" s="120"/>
      <c r="P114" s="96">
        <f>SUM(J114:N114)</f>
        <v>54.666666666666664</v>
      </c>
      <c r="Q114" s="97">
        <f>IF(C114=2011, P114/3,P114)+O114</f>
        <v>54.666666666666664</v>
      </c>
      <c r="R114" s="22"/>
      <c r="S114" s="182"/>
      <c r="T114" s="182"/>
      <c r="U114" s="182"/>
      <c r="V114" s="182">
        <v>57</v>
      </c>
      <c r="W114" s="182"/>
      <c r="X114" s="182"/>
      <c r="Y114" s="182">
        <f>89</f>
        <v>89</v>
      </c>
      <c r="Z114" s="95">
        <f>6</f>
        <v>6</v>
      </c>
      <c r="AA114" s="96">
        <f>SUM(S114:Y114)</f>
        <v>146</v>
      </c>
      <c r="AB114" s="97">
        <f>IF(C114=2010, AA114/3,AA114)+Z114</f>
        <v>54.666666666666664</v>
      </c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</row>
    <row r="115" spans="1:47" x14ac:dyDescent="0.25">
      <c r="A115" s="60" t="s">
        <v>445</v>
      </c>
      <c r="B115" s="65" t="s">
        <v>63</v>
      </c>
      <c r="C115" s="62">
        <v>2009</v>
      </c>
      <c r="D115" s="1">
        <f>Q115+G115+F115+H115+E115</f>
        <v>0</v>
      </c>
      <c r="E115" s="177"/>
      <c r="F115" s="50"/>
      <c r="G115" s="50"/>
      <c r="H115" s="120"/>
      <c r="I115" s="22"/>
      <c r="J115" s="50"/>
      <c r="K115" s="50"/>
      <c r="L115" s="50"/>
      <c r="M115" s="50"/>
      <c r="N115" s="50">
        <f>AB115</f>
        <v>0</v>
      </c>
      <c r="O115" s="120"/>
      <c r="P115" s="96">
        <f>SUM(J115:N115)</f>
        <v>0</v>
      </c>
      <c r="Q115" s="97">
        <f>IF(C115=2011, P115/3,P115)+O115</f>
        <v>0</v>
      </c>
      <c r="R115" s="22"/>
      <c r="W115" s="13">
        <f>0</f>
        <v>0</v>
      </c>
      <c r="Z115" s="95"/>
      <c r="AA115" s="96">
        <f>SUM(S115:Y115)</f>
        <v>0</v>
      </c>
      <c r="AB115" s="97">
        <f>IF(C115=2010, AA115/3,AA115)+Z115</f>
        <v>0</v>
      </c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</row>
    <row r="116" spans="1:47" x14ac:dyDescent="0.25">
      <c r="A116" s="11" t="s">
        <v>121</v>
      </c>
      <c r="B116" s="60" t="s">
        <v>63</v>
      </c>
      <c r="C116" s="62">
        <v>2010</v>
      </c>
      <c r="D116" s="1">
        <f>Q116+G116+F116+H116+E116</f>
        <v>76.333333333333343</v>
      </c>
      <c r="E116" s="177">
        <f>0+6</f>
        <v>6</v>
      </c>
      <c r="F116" s="50">
        <f>0+6</f>
        <v>6</v>
      </c>
      <c r="G116" s="50">
        <f>0</f>
        <v>0</v>
      </c>
      <c r="H116" s="120"/>
      <c r="I116" s="22"/>
      <c r="J116" s="50">
        <f>14</f>
        <v>14</v>
      </c>
      <c r="K116" s="50">
        <f>17</f>
        <v>17</v>
      </c>
      <c r="L116" s="50">
        <f>0</f>
        <v>0</v>
      </c>
      <c r="M116" s="50"/>
      <c r="N116" s="50">
        <f>AB116</f>
        <v>33.333333333333336</v>
      </c>
      <c r="O116" s="120"/>
      <c r="P116" s="96">
        <f>SUM(J116:N116)</f>
        <v>64.333333333333343</v>
      </c>
      <c r="Q116" s="97">
        <f>IF(C116=2011, P116/3,P116)+O116</f>
        <v>64.333333333333343</v>
      </c>
      <c r="R116" s="22"/>
      <c r="S116" s="41"/>
      <c r="T116" s="41">
        <v>32</v>
      </c>
      <c r="U116" s="41">
        <f>6</f>
        <v>6</v>
      </c>
      <c r="V116" s="41">
        <f>18</f>
        <v>18</v>
      </c>
      <c r="W116" s="41">
        <f>27</f>
        <v>27</v>
      </c>
      <c r="X116" s="41">
        <f>17</f>
        <v>17</v>
      </c>
      <c r="Z116" s="95"/>
      <c r="AA116" s="96">
        <f>SUM(S116:Y116)</f>
        <v>100</v>
      </c>
      <c r="AB116" s="97">
        <f>IF(C116=2010, AA116/3,AA116)+Z116</f>
        <v>33.333333333333336</v>
      </c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</row>
    <row r="117" spans="1:47" x14ac:dyDescent="0.25">
      <c r="A117" s="51" t="s">
        <v>273</v>
      </c>
      <c r="B117" s="65" t="s">
        <v>274</v>
      </c>
      <c r="C117" s="62"/>
      <c r="D117" s="1">
        <f>Q117+G117+F117+H117+E117</f>
        <v>46</v>
      </c>
      <c r="E117" s="177"/>
      <c r="F117" s="50"/>
      <c r="G117" s="50"/>
      <c r="H117" s="120"/>
      <c r="I117" s="22"/>
      <c r="J117" s="50"/>
      <c r="K117" s="50"/>
      <c r="L117" s="50"/>
      <c r="M117" s="50"/>
      <c r="N117" s="50">
        <f>AB117</f>
        <v>46</v>
      </c>
      <c r="O117" s="120"/>
      <c r="P117" s="96">
        <f>SUM(J117:N117)</f>
        <v>46</v>
      </c>
      <c r="Q117" s="97">
        <f>IF(C117=2011, P117/3,P117)+O117</f>
        <v>46</v>
      </c>
      <c r="R117" s="22"/>
      <c r="U117" s="13">
        <f>1</f>
        <v>1</v>
      </c>
      <c r="V117" s="13">
        <f>45</f>
        <v>45</v>
      </c>
      <c r="Z117" s="95"/>
      <c r="AA117" s="96">
        <f>SUM(S117:Y117)</f>
        <v>46</v>
      </c>
      <c r="AB117" s="97">
        <f>IF(C117=2010, AA117/3,AA117)+Z117</f>
        <v>46</v>
      </c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</row>
    <row r="118" spans="1:47" x14ac:dyDescent="0.25">
      <c r="A118" s="11" t="s">
        <v>307</v>
      </c>
      <c r="B118" s="60" t="s">
        <v>0</v>
      </c>
      <c r="C118" s="62">
        <v>2010</v>
      </c>
      <c r="D118" s="1">
        <f>Q118+G118+F118+H118+E118</f>
        <v>167</v>
      </c>
      <c r="E118" s="177">
        <f>16</f>
        <v>16</v>
      </c>
      <c r="F118" s="50">
        <f>6</f>
        <v>6</v>
      </c>
      <c r="G118" s="50">
        <f>32+3</f>
        <v>35</v>
      </c>
      <c r="H118" s="120">
        <f>3</f>
        <v>3</v>
      </c>
      <c r="I118" s="22"/>
      <c r="J118" s="50">
        <f>24</f>
        <v>24</v>
      </c>
      <c r="K118" s="50">
        <f>16</f>
        <v>16</v>
      </c>
      <c r="L118" s="50">
        <f>39</f>
        <v>39</v>
      </c>
      <c r="M118" s="50"/>
      <c r="N118" s="50">
        <f>AB118</f>
        <v>28</v>
      </c>
      <c r="O118" s="120"/>
      <c r="P118" s="96">
        <f>SUM(J118:N118)</f>
        <v>107</v>
      </c>
      <c r="Q118" s="97">
        <f>IF(C118=2011, P118/3,P118)+O118</f>
        <v>107</v>
      </c>
      <c r="R118" s="22"/>
      <c r="S118" s="41"/>
      <c r="T118" s="41"/>
      <c r="U118" s="41"/>
      <c r="V118" s="41">
        <f>36</f>
        <v>36</v>
      </c>
      <c r="W118" s="41">
        <f>45</f>
        <v>45</v>
      </c>
      <c r="X118" s="41">
        <f>3</f>
        <v>3</v>
      </c>
      <c r="Z118" s="95"/>
      <c r="AA118" s="96">
        <f>SUM(S118:Y118)</f>
        <v>84</v>
      </c>
      <c r="AB118" s="97">
        <f>IF(C118=2010, AA118/3,AA118)+Z118</f>
        <v>28</v>
      </c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</row>
    <row r="119" spans="1:47" x14ac:dyDescent="0.25">
      <c r="A119" s="11" t="s">
        <v>703</v>
      </c>
      <c r="B119" s="60" t="s">
        <v>233</v>
      </c>
      <c r="C119" s="62">
        <v>2011</v>
      </c>
      <c r="D119" s="1">
        <f>Q119+G119+F119+H119+E119</f>
        <v>21</v>
      </c>
      <c r="E119" s="177"/>
      <c r="F119" s="50"/>
      <c r="G119" s="50"/>
      <c r="H119" s="120"/>
      <c r="I119" s="182"/>
      <c r="J119" s="50">
        <f>18</f>
        <v>18</v>
      </c>
      <c r="K119" s="50">
        <f>45</f>
        <v>45</v>
      </c>
      <c r="L119" s="50"/>
      <c r="M119" s="50"/>
      <c r="N119" s="50"/>
      <c r="O119" s="120"/>
      <c r="P119" s="96">
        <f>SUM(J119:N119)</f>
        <v>63</v>
      </c>
      <c r="Q119" s="97">
        <f>IF(C119=2011, P119/3,P119)+O119</f>
        <v>21</v>
      </c>
      <c r="R119" s="22"/>
      <c r="S119" s="182"/>
      <c r="T119" s="182"/>
      <c r="U119" s="182"/>
      <c r="V119" s="182"/>
      <c r="W119" s="182"/>
      <c r="X119" s="182"/>
      <c r="Y119" s="36"/>
      <c r="Z119" s="95"/>
      <c r="AA119" s="96"/>
      <c r="AB119" s="97"/>
    </row>
    <row r="120" spans="1:47" x14ac:dyDescent="0.25">
      <c r="A120" s="60" t="s">
        <v>178</v>
      </c>
      <c r="B120" s="65" t="s">
        <v>87</v>
      </c>
      <c r="C120" s="62">
        <v>2009</v>
      </c>
      <c r="D120" s="1">
        <f>Q120+G120+F120+H120+E120</f>
        <v>33</v>
      </c>
      <c r="E120" s="177"/>
      <c r="F120" s="50"/>
      <c r="G120" s="50"/>
      <c r="H120" s="120"/>
      <c r="I120" s="22"/>
      <c r="J120" s="50"/>
      <c r="K120" s="50"/>
      <c r="L120" s="50"/>
      <c r="M120" s="50"/>
      <c r="N120" s="50">
        <f>AB120</f>
        <v>33</v>
      </c>
      <c r="O120" s="120"/>
      <c r="P120" s="96">
        <f>SUM(J120:N120)</f>
        <v>33</v>
      </c>
      <c r="Q120" s="97">
        <f>IF(C120=2011, P120/3,P120)+O120</f>
        <v>33</v>
      </c>
      <c r="R120" s="22"/>
      <c r="T120" s="13">
        <f>15+9</f>
        <v>24</v>
      </c>
      <c r="V120" s="13">
        <f>0+9</f>
        <v>9</v>
      </c>
      <c r="Z120" s="95"/>
      <c r="AA120" s="96">
        <f>SUM(S120:Y120)</f>
        <v>33</v>
      </c>
      <c r="AB120" s="97">
        <f>IF(C120=2010, AA120/3,AA120)+Z120</f>
        <v>33</v>
      </c>
    </row>
    <row r="121" spans="1:47" x14ac:dyDescent="0.25">
      <c r="A121" s="11" t="s">
        <v>533</v>
      </c>
      <c r="B121" s="60" t="s">
        <v>7</v>
      </c>
      <c r="C121" s="62">
        <v>2010</v>
      </c>
      <c r="D121" s="1">
        <f>Q121+G121+F121+H121+E121</f>
        <v>0.66666666666666663</v>
      </c>
      <c r="E121" s="177"/>
      <c r="F121" s="50"/>
      <c r="G121" s="50"/>
      <c r="H121" s="120"/>
      <c r="I121" s="22"/>
      <c r="J121" s="50"/>
      <c r="K121" s="50">
        <f>0</f>
        <v>0</v>
      </c>
      <c r="L121" s="50"/>
      <c r="M121" s="50">
        <f>0</f>
        <v>0</v>
      </c>
      <c r="N121" s="50">
        <f>AB121</f>
        <v>0.66666666666666663</v>
      </c>
      <c r="O121" s="120"/>
      <c r="P121" s="96">
        <f>SUM(J121:N121)</f>
        <v>0.66666666666666663</v>
      </c>
      <c r="Q121" s="97">
        <f>IF(C121=2011, P121/3,P121)+O121</f>
        <v>0.66666666666666663</v>
      </c>
      <c r="R121" s="22"/>
      <c r="S121" s="41"/>
      <c r="T121" s="41"/>
      <c r="U121" s="41"/>
      <c r="V121" s="41"/>
      <c r="W121" s="41"/>
      <c r="X121" s="41">
        <f>2</f>
        <v>2</v>
      </c>
      <c r="Z121" s="95"/>
      <c r="AA121" s="96">
        <f>SUM(S121:Y121)</f>
        <v>2</v>
      </c>
      <c r="AB121" s="97">
        <f>IF(C121=2010, AA121/3,AA121)+Z121</f>
        <v>0.66666666666666663</v>
      </c>
    </row>
    <row r="122" spans="1:47" x14ac:dyDescent="0.25">
      <c r="A122" s="71" t="s">
        <v>418</v>
      </c>
      <c r="B122" s="71" t="s">
        <v>112</v>
      </c>
      <c r="C122" s="72">
        <v>2010</v>
      </c>
      <c r="D122" s="1">
        <f>Q122+G122+F122+H122+E122</f>
        <v>60</v>
      </c>
      <c r="E122" s="177"/>
      <c r="F122" s="177"/>
      <c r="G122" s="182">
        <f>0</f>
        <v>0</v>
      </c>
      <c r="H122" s="120"/>
      <c r="I122" s="22"/>
      <c r="J122" s="50">
        <f>8+8</f>
        <v>16</v>
      </c>
      <c r="K122" s="50">
        <f>11+9</f>
        <v>20</v>
      </c>
      <c r="L122" s="50">
        <f>14+5</f>
        <v>19</v>
      </c>
      <c r="M122" s="50"/>
      <c r="N122" s="50">
        <f>AB122</f>
        <v>5</v>
      </c>
      <c r="O122" s="120"/>
      <c r="P122" s="96">
        <f>SUM(J122:N122)</f>
        <v>60</v>
      </c>
      <c r="Q122" s="97">
        <f>IF(C122=2011, P122/3,P122)+O122</f>
        <v>60</v>
      </c>
      <c r="R122" s="22"/>
      <c r="S122" s="182"/>
      <c r="T122" s="182"/>
      <c r="U122" s="182"/>
      <c r="V122" s="182"/>
      <c r="W122" s="182">
        <f>0+15</f>
        <v>15</v>
      </c>
      <c r="X122" s="182"/>
      <c r="Y122" s="36"/>
      <c r="Z122" s="95"/>
      <c r="AA122" s="96">
        <f>SUM(S122:Y122)</f>
        <v>15</v>
      </c>
      <c r="AB122" s="97">
        <f>IF(C122=2010, AA122/3,AA122)+Z122</f>
        <v>5</v>
      </c>
    </row>
    <row r="123" spans="1:47" x14ac:dyDescent="0.25">
      <c r="A123" s="60" t="s">
        <v>540</v>
      </c>
      <c r="B123" s="65" t="s">
        <v>535</v>
      </c>
      <c r="C123" s="62">
        <v>2008</v>
      </c>
      <c r="D123" s="1">
        <f>Q123+G123+F123+H123+E123</f>
        <v>15</v>
      </c>
      <c r="E123" s="177"/>
      <c r="F123" s="50"/>
      <c r="G123" s="50"/>
      <c r="H123" s="120"/>
      <c r="I123" s="22"/>
      <c r="J123" s="50"/>
      <c r="K123" s="50">
        <f>9</f>
        <v>9</v>
      </c>
      <c r="L123" s="50"/>
      <c r="M123" s="50"/>
      <c r="N123" s="50">
        <f>AB123</f>
        <v>6</v>
      </c>
      <c r="O123" s="120"/>
      <c r="P123" s="96">
        <f>SUM(J123:N123)</f>
        <v>15</v>
      </c>
      <c r="Q123" s="97">
        <f>IF(C123=2011, P123/3,P123)+O123</f>
        <v>15</v>
      </c>
      <c r="R123" s="22"/>
      <c r="X123" s="13">
        <f>0</f>
        <v>0</v>
      </c>
      <c r="Y123" s="13">
        <f>6</f>
        <v>6</v>
      </c>
      <c r="Z123" s="95"/>
      <c r="AA123" s="96">
        <f>SUM(S123:Y123)</f>
        <v>6</v>
      </c>
      <c r="AB123" s="97">
        <f>IF(C123=2010, AA123/3,AA123)+Z123</f>
        <v>6</v>
      </c>
    </row>
    <row r="124" spans="1:47" x14ac:dyDescent="0.25">
      <c r="A124" s="60" t="s">
        <v>500</v>
      </c>
      <c r="B124" s="65" t="s">
        <v>233</v>
      </c>
      <c r="C124" s="62">
        <v>2008</v>
      </c>
      <c r="D124" s="1">
        <f>Q124+G124+F124+H124+E124</f>
        <v>26</v>
      </c>
      <c r="E124" s="177"/>
      <c r="F124" s="50"/>
      <c r="G124" s="50"/>
      <c r="H124" s="120"/>
      <c r="I124" s="22"/>
      <c r="J124" s="50"/>
      <c r="K124" s="50"/>
      <c r="L124" s="50">
        <f>14</f>
        <v>14</v>
      </c>
      <c r="M124" s="50"/>
      <c r="N124" s="50">
        <f>AB124</f>
        <v>12</v>
      </c>
      <c r="O124" s="120"/>
      <c r="P124" s="96">
        <f>SUM(J124:N124)</f>
        <v>26</v>
      </c>
      <c r="Q124" s="97">
        <f>IF(C124=2011, P124/3,P124)+O124</f>
        <v>26</v>
      </c>
      <c r="R124" s="22"/>
      <c r="X124" s="13">
        <f>12</f>
        <v>12</v>
      </c>
      <c r="Z124" s="95"/>
      <c r="AA124" s="96">
        <f>SUM(S124:Y124)</f>
        <v>12</v>
      </c>
      <c r="AB124" s="97">
        <f>IF(C124=2010, AA124/3,AA124)+Z124</f>
        <v>12</v>
      </c>
    </row>
    <row r="125" spans="1:47" x14ac:dyDescent="0.25">
      <c r="A125" s="11" t="s">
        <v>625</v>
      </c>
      <c r="B125" s="60" t="s">
        <v>23</v>
      </c>
      <c r="C125" s="62">
        <v>2010</v>
      </c>
      <c r="D125" s="1">
        <f>Q125+G125+F125+H125+E125</f>
        <v>259</v>
      </c>
      <c r="E125" s="177"/>
      <c r="F125" s="50"/>
      <c r="G125" s="50"/>
      <c r="H125" s="120"/>
      <c r="I125" s="50"/>
      <c r="J125" s="50"/>
      <c r="K125" s="50"/>
      <c r="L125" s="50">
        <f>84+57</f>
        <v>141</v>
      </c>
      <c r="M125" s="50"/>
      <c r="N125" s="50">
        <f>118</f>
        <v>118</v>
      </c>
      <c r="O125" s="120"/>
      <c r="P125" s="96">
        <f>SUM(J125:N125)</f>
        <v>259</v>
      </c>
      <c r="Q125" s="97">
        <f>IF(C125=2011, P125/3,P125)+O125</f>
        <v>259</v>
      </c>
      <c r="R125" s="22"/>
      <c r="S125" s="50"/>
      <c r="T125" s="50"/>
      <c r="U125" s="50"/>
      <c r="V125" s="50"/>
      <c r="W125" s="50"/>
      <c r="X125" s="50"/>
      <c r="Y125" s="36"/>
      <c r="Z125" s="95"/>
      <c r="AA125" s="96">
        <f>SUM(S125:Y125)</f>
        <v>0</v>
      </c>
      <c r="AB125" s="97">
        <f>IF(C125=2010, AA125/3,AA125)+Z125</f>
        <v>0</v>
      </c>
    </row>
    <row r="126" spans="1:47" x14ac:dyDescent="0.25">
      <c r="A126" s="60" t="s">
        <v>442</v>
      </c>
      <c r="B126" s="65" t="s">
        <v>112</v>
      </c>
      <c r="C126" s="62">
        <v>2009</v>
      </c>
      <c r="D126" s="1">
        <f>Q126+G126+F126+H126+E126</f>
        <v>42</v>
      </c>
      <c r="E126" s="177"/>
      <c r="F126" s="50"/>
      <c r="H126" s="120"/>
      <c r="I126" s="22"/>
      <c r="J126" s="50"/>
      <c r="K126" s="50"/>
      <c r="L126" s="50">
        <f>34</f>
        <v>34</v>
      </c>
      <c r="M126" s="50"/>
      <c r="N126" s="50">
        <f>AB126</f>
        <v>8</v>
      </c>
      <c r="O126" s="120"/>
      <c r="P126" s="96">
        <f>SUM(J126:N126)</f>
        <v>42</v>
      </c>
      <c r="Q126" s="97">
        <f>IF(C126=2011, P126/3,P126)+O126</f>
        <v>42</v>
      </c>
      <c r="R126" s="22"/>
      <c r="W126" s="13">
        <f>5</f>
        <v>5</v>
      </c>
      <c r="X126" s="13">
        <f>3</f>
        <v>3</v>
      </c>
      <c r="Z126" s="95"/>
      <c r="AA126" s="96">
        <f>SUM(S126:Y126)</f>
        <v>8</v>
      </c>
      <c r="AB126" s="97">
        <f>IF(C126=2010, AA126/3,AA126)+Z126</f>
        <v>8</v>
      </c>
    </row>
    <row r="127" spans="1:47" x14ac:dyDescent="0.25">
      <c r="A127" s="71" t="s">
        <v>626</v>
      </c>
      <c r="B127" s="71" t="s">
        <v>64</v>
      </c>
      <c r="C127" s="72">
        <v>2012</v>
      </c>
      <c r="D127" s="1">
        <f>Q127+G127+F127+H127+E127</f>
        <v>213</v>
      </c>
      <c r="E127" s="177"/>
      <c r="F127" s="50"/>
      <c r="G127" s="50"/>
      <c r="H127" s="120"/>
      <c r="I127" s="50"/>
      <c r="J127" s="50"/>
      <c r="K127" s="50">
        <f>30+48</f>
        <v>78</v>
      </c>
      <c r="L127" s="50">
        <f>90+45</f>
        <v>135</v>
      </c>
      <c r="M127" s="50"/>
      <c r="N127" s="50"/>
      <c r="O127" s="120"/>
      <c r="P127" s="96">
        <f>SUM(J127:N127)</f>
        <v>213</v>
      </c>
      <c r="Q127" s="97">
        <f>IF(C127=2011, P127/3,P127)+O127</f>
        <v>213</v>
      </c>
      <c r="R127" s="22"/>
      <c r="S127" s="182"/>
      <c r="T127" s="182"/>
      <c r="U127" s="182"/>
      <c r="V127" s="182"/>
      <c r="W127" s="182"/>
      <c r="X127" s="182"/>
      <c r="Y127" s="36"/>
      <c r="Z127" s="95"/>
      <c r="AA127" s="96"/>
      <c r="AB127" s="97"/>
    </row>
    <row r="128" spans="1:47" x14ac:dyDescent="0.25">
      <c r="A128" s="60" t="s">
        <v>202</v>
      </c>
      <c r="B128" s="65" t="s">
        <v>88</v>
      </c>
      <c r="C128" s="62"/>
      <c r="D128" s="1">
        <f>Q128+G128+F128+H128+E128</f>
        <v>18</v>
      </c>
      <c r="E128" s="177"/>
      <c r="F128" s="50"/>
      <c r="G128" s="50"/>
      <c r="H128" s="120"/>
      <c r="I128" s="22"/>
      <c r="J128" s="50"/>
      <c r="K128" s="50"/>
      <c r="L128" s="50"/>
      <c r="M128" s="50"/>
      <c r="N128" s="50">
        <f>AB128</f>
        <v>18</v>
      </c>
      <c r="O128" s="120"/>
      <c r="P128" s="96">
        <f>SUM(J128:N128)</f>
        <v>18</v>
      </c>
      <c r="Q128" s="97">
        <f>IF(C128=2011, P128/3,P128)+O128</f>
        <v>18</v>
      </c>
      <c r="R128" s="22"/>
      <c r="T128" s="13">
        <f>18</f>
        <v>18</v>
      </c>
      <c r="Z128" s="95"/>
      <c r="AA128" s="96">
        <f>SUM(S128:Y128)</f>
        <v>18</v>
      </c>
      <c r="AB128" s="97">
        <f>IF(C128=2010, AA128/3,AA128)+Z128</f>
        <v>18</v>
      </c>
    </row>
    <row r="129" spans="1:28" x14ac:dyDescent="0.25">
      <c r="A129" s="71" t="s">
        <v>241</v>
      </c>
      <c r="B129" s="71" t="s">
        <v>233</v>
      </c>
      <c r="C129" s="72">
        <v>2011</v>
      </c>
      <c r="D129" s="1">
        <f>Q129+G129+F129+H129+E129</f>
        <v>50.333333333333336</v>
      </c>
      <c r="E129" s="177"/>
      <c r="F129" s="50"/>
      <c r="G129" s="50"/>
      <c r="H129" s="120"/>
      <c r="I129" s="182"/>
      <c r="J129" s="50"/>
      <c r="K129" s="50"/>
      <c r="L129" s="50">
        <f>57</f>
        <v>57</v>
      </c>
      <c r="M129" s="50">
        <f>46</f>
        <v>46</v>
      </c>
      <c r="N129" s="50">
        <f>AB129</f>
        <v>48</v>
      </c>
      <c r="O129" s="120"/>
      <c r="P129" s="96">
        <f>SUM(J129:N129)</f>
        <v>151</v>
      </c>
      <c r="Q129" s="97">
        <f>IF(C129=2011, P129/3,P129)+O129</f>
        <v>50.333333333333336</v>
      </c>
      <c r="R129" s="22"/>
      <c r="S129" s="182"/>
      <c r="T129" s="182"/>
      <c r="U129" s="182">
        <f>48</f>
        <v>48</v>
      </c>
      <c r="V129" s="182"/>
      <c r="W129" s="182"/>
      <c r="X129" s="182"/>
      <c r="Y129" s="36"/>
      <c r="Z129" s="95"/>
      <c r="AA129" s="96">
        <f>SUM(S129:Y129)</f>
        <v>48</v>
      </c>
      <c r="AB129" s="97">
        <f>IF(C129=2015, AA129/3,AA129)+Z129</f>
        <v>48</v>
      </c>
    </row>
    <row r="130" spans="1:28" x14ac:dyDescent="0.25">
      <c r="A130" s="71" t="s">
        <v>610</v>
      </c>
      <c r="B130" s="71" t="s">
        <v>233</v>
      </c>
      <c r="C130" s="72">
        <v>2011</v>
      </c>
      <c r="D130" s="1">
        <f>Q130+G130+F130+H130+E130</f>
        <v>27.333333333333332</v>
      </c>
      <c r="E130" s="177"/>
      <c r="F130" s="50"/>
      <c r="G130" s="50"/>
      <c r="H130" s="120"/>
      <c r="I130" s="182"/>
      <c r="J130" s="50">
        <f>18</f>
        <v>18</v>
      </c>
      <c r="K130" s="50">
        <f>30</f>
        <v>30</v>
      </c>
      <c r="L130" s="50">
        <f>34</f>
        <v>34</v>
      </c>
      <c r="M130" s="50"/>
      <c r="N130" s="50"/>
      <c r="O130" s="120"/>
      <c r="P130" s="96">
        <f>SUM(J130:N130)</f>
        <v>82</v>
      </c>
      <c r="Q130" s="97">
        <f>IF(C130=2011, P130/3,P130)+O130</f>
        <v>27.333333333333332</v>
      </c>
      <c r="R130" s="22"/>
      <c r="S130" s="182"/>
      <c r="T130" s="182"/>
      <c r="U130" s="182"/>
      <c r="V130" s="182"/>
      <c r="W130" s="182"/>
      <c r="X130" s="182"/>
      <c r="Y130" s="36"/>
      <c r="Z130" s="95"/>
      <c r="AA130" s="96"/>
      <c r="AB130" s="97"/>
    </row>
    <row r="131" spans="1:28" x14ac:dyDescent="0.25">
      <c r="A131" s="11" t="s">
        <v>589</v>
      </c>
      <c r="B131" s="60" t="s">
        <v>590</v>
      </c>
      <c r="C131" s="62">
        <v>2011</v>
      </c>
      <c r="D131" s="1">
        <f>Q131+G131+F131+H131+E131</f>
        <v>4</v>
      </c>
      <c r="E131" s="177"/>
      <c r="F131" s="50"/>
      <c r="G131" s="50">
        <f>3</f>
        <v>3</v>
      </c>
      <c r="H131" s="120"/>
      <c r="I131" s="50"/>
      <c r="J131" s="50"/>
      <c r="K131" s="50"/>
      <c r="L131" s="50"/>
      <c r="M131" s="50">
        <f>3</f>
        <v>3</v>
      </c>
      <c r="N131" s="50"/>
      <c r="O131" s="120"/>
      <c r="P131" s="96">
        <f>SUM(J131:N131)</f>
        <v>3</v>
      </c>
      <c r="Q131" s="97">
        <f>IF(C131=2011, P131/3,P131)+O131</f>
        <v>1</v>
      </c>
      <c r="R131" s="22"/>
      <c r="S131" s="41"/>
      <c r="T131" s="41"/>
      <c r="U131" s="41"/>
      <c r="V131" s="41"/>
      <c r="W131" s="41"/>
      <c r="X131" s="41"/>
      <c r="Z131" s="95"/>
      <c r="AA131" s="96"/>
      <c r="AB131" s="97"/>
    </row>
    <row r="132" spans="1:28" x14ac:dyDescent="0.25">
      <c r="A132" s="60" t="s">
        <v>519</v>
      </c>
      <c r="B132" s="65" t="s">
        <v>87</v>
      </c>
      <c r="C132" s="62">
        <v>2009</v>
      </c>
      <c r="D132" s="1">
        <f>Q132+G132+F132+H132+E132</f>
        <v>39</v>
      </c>
      <c r="E132" s="177"/>
      <c r="F132" s="50"/>
      <c r="G132" s="50"/>
      <c r="H132" s="120"/>
      <c r="I132" s="22"/>
      <c r="J132" s="50"/>
      <c r="K132" s="50"/>
      <c r="L132" s="50"/>
      <c r="M132" s="50"/>
      <c r="N132" s="50">
        <f>AB132</f>
        <v>39</v>
      </c>
      <c r="O132" s="120"/>
      <c r="P132" s="96">
        <f>SUM(J132:N132)</f>
        <v>39</v>
      </c>
      <c r="Q132" s="97">
        <f>IF(C132=2011, P132/3,P132)+O132</f>
        <v>39</v>
      </c>
      <c r="R132" s="22"/>
      <c r="X132" s="13">
        <f>36</f>
        <v>36</v>
      </c>
      <c r="Z132" s="95">
        <f>3</f>
        <v>3</v>
      </c>
      <c r="AA132" s="96">
        <f>SUM(S132:Y132)</f>
        <v>36</v>
      </c>
      <c r="AB132" s="97">
        <f>IF(C132=2010, AA132/3,AA132)+Z132</f>
        <v>39</v>
      </c>
    </row>
    <row r="133" spans="1:28" x14ac:dyDescent="0.25">
      <c r="A133" s="11" t="s">
        <v>117</v>
      </c>
      <c r="B133" s="60" t="s">
        <v>64</v>
      </c>
      <c r="C133" s="62">
        <v>2010</v>
      </c>
      <c r="D133" s="1">
        <f>Q133+G133+F133+H133+E133</f>
        <v>12.333333333333334</v>
      </c>
      <c r="E133" s="177"/>
      <c r="F133" s="50"/>
      <c r="G133" s="50"/>
      <c r="H133" s="120"/>
      <c r="I133" s="22"/>
      <c r="J133" s="50"/>
      <c r="K133" s="50"/>
      <c r="L133" s="50"/>
      <c r="M133" s="50"/>
      <c r="N133" s="50">
        <f>AB133</f>
        <v>12.333333333333334</v>
      </c>
      <c r="O133" s="120"/>
      <c r="P133" s="96">
        <f>SUM(J133:N133)</f>
        <v>12.333333333333334</v>
      </c>
      <c r="Q133" s="97">
        <f>IF(C133=2011, P133/3,P133)+O133</f>
        <v>12.333333333333334</v>
      </c>
      <c r="R133" s="22"/>
      <c r="S133" s="41"/>
      <c r="T133" s="41">
        <v>37</v>
      </c>
      <c r="U133" s="41"/>
      <c r="V133" s="41"/>
      <c r="W133" s="41"/>
      <c r="X133" s="41"/>
      <c r="Z133" s="95"/>
      <c r="AA133" s="96">
        <f>SUM(S133:Y133)</f>
        <v>37</v>
      </c>
      <c r="AB133" s="97">
        <f>IF(C133=2010, AA133/3,AA133)+Z133</f>
        <v>12.333333333333334</v>
      </c>
    </row>
    <row r="134" spans="1:28" x14ac:dyDescent="0.25">
      <c r="A134" s="60" t="s">
        <v>511</v>
      </c>
      <c r="B134" s="65" t="s">
        <v>233</v>
      </c>
      <c r="C134" s="62">
        <v>2009</v>
      </c>
      <c r="D134" s="1">
        <f>Q134+G134+F134+H134+E134</f>
        <v>0</v>
      </c>
      <c r="E134" s="177"/>
      <c r="F134" s="50"/>
      <c r="G134" s="50"/>
      <c r="H134" s="120"/>
      <c r="I134" s="22"/>
      <c r="J134" s="50"/>
      <c r="K134" s="50"/>
      <c r="L134" s="50"/>
      <c r="M134" s="50"/>
      <c r="N134" s="50">
        <f>AB134</f>
        <v>0</v>
      </c>
      <c r="O134" s="120"/>
      <c r="P134" s="96">
        <f>SUM(J134:N134)</f>
        <v>0</v>
      </c>
      <c r="Q134" s="97">
        <f>IF(C134=2011, P134/3,P134)+O134</f>
        <v>0</v>
      </c>
      <c r="R134" s="22"/>
      <c r="X134" s="13">
        <f>0</f>
        <v>0</v>
      </c>
      <c r="Z134" s="95"/>
      <c r="AA134" s="96">
        <f>SUM(S134:Y134)</f>
        <v>0</v>
      </c>
      <c r="AB134" s="97">
        <f>IF(C134=2010, AA134/3,AA134)+Z134</f>
        <v>0</v>
      </c>
    </row>
    <row r="135" spans="1:28" x14ac:dyDescent="0.25">
      <c r="A135" s="11" t="s">
        <v>575</v>
      </c>
      <c r="B135" s="71" t="s">
        <v>64</v>
      </c>
      <c r="C135" s="62">
        <v>2011</v>
      </c>
      <c r="D135" s="1">
        <f>Q135+G135+F135+H135+E135</f>
        <v>54</v>
      </c>
      <c r="E135" s="177"/>
      <c r="F135" s="50">
        <f>0+18</f>
        <v>18</v>
      </c>
      <c r="G135" s="50">
        <f>0+6</f>
        <v>6</v>
      </c>
      <c r="H135" s="120"/>
      <c r="I135" s="182"/>
      <c r="J135" s="50"/>
      <c r="K135" s="50"/>
      <c r="L135" s="50">
        <f>90</f>
        <v>90</v>
      </c>
      <c r="M135" s="50">
        <f>0</f>
        <v>0</v>
      </c>
      <c r="N135" s="50"/>
      <c r="O135" s="120"/>
      <c r="P135" s="96">
        <f>SUM(J135:N135)</f>
        <v>90</v>
      </c>
      <c r="Q135" s="97">
        <f>IF(C135=2011, P135/3,P135)+O135</f>
        <v>30</v>
      </c>
      <c r="R135" s="22"/>
      <c r="S135" s="41"/>
      <c r="T135" s="41"/>
      <c r="U135" s="41"/>
      <c r="V135" s="41"/>
      <c r="W135" s="41"/>
      <c r="X135" s="41"/>
      <c r="Z135" s="95"/>
      <c r="AA135" s="96"/>
      <c r="AB135" s="97"/>
    </row>
    <row r="136" spans="1:28" x14ac:dyDescent="0.25">
      <c r="A136" s="51" t="s">
        <v>24</v>
      </c>
      <c r="B136" s="84" t="s">
        <v>23</v>
      </c>
      <c r="C136" s="52">
        <v>2009</v>
      </c>
      <c r="D136" s="1">
        <f>Q136+G136+F136+H136+E136</f>
        <v>104.33333333333334</v>
      </c>
      <c r="E136" s="177"/>
      <c r="F136" s="50"/>
      <c r="G136" s="50"/>
      <c r="H136" s="120"/>
      <c r="I136" s="22"/>
      <c r="J136" s="50"/>
      <c r="K136" s="50"/>
      <c r="L136" s="50">
        <f>36</f>
        <v>36</v>
      </c>
      <c r="M136" s="50"/>
      <c r="N136" s="50">
        <f>AB136</f>
        <v>68.333333333333343</v>
      </c>
      <c r="O136" s="120"/>
      <c r="P136" s="96">
        <f>SUM(J136:N136)</f>
        <v>104.33333333333334</v>
      </c>
      <c r="Q136" s="97">
        <f>IF(C136=2011, P136/3,P136)+O136</f>
        <v>104.33333333333334</v>
      </c>
      <c r="R136" s="22"/>
      <c r="S136" s="50">
        <f>12+3</f>
        <v>15</v>
      </c>
      <c r="T136" s="50"/>
      <c r="U136" s="50"/>
      <c r="V136" s="50"/>
      <c r="W136" s="50"/>
      <c r="X136" s="50"/>
      <c r="Y136" s="182">
        <v>53.333333333333336</v>
      </c>
      <c r="Z136" s="95"/>
      <c r="AA136" s="96">
        <f>SUM(S136:Y136)</f>
        <v>68.333333333333343</v>
      </c>
      <c r="AB136" s="97">
        <f>IF(C136=2010, AA136/3,AA136)+Z136</f>
        <v>68.333333333333343</v>
      </c>
    </row>
    <row r="137" spans="1:28" x14ac:dyDescent="0.25">
      <c r="A137" s="60" t="s">
        <v>709</v>
      </c>
      <c r="B137" s="65" t="s">
        <v>554</v>
      </c>
      <c r="C137" s="62">
        <v>2008</v>
      </c>
      <c r="D137" s="1">
        <f>Q137+G137+F137+H137+E137</f>
        <v>31</v>
      </c>
      <c r="E137" s="177"/>
      <c r="F137" s="50">
        <f>11</f>
        <v>11</v>
      </c>
      <c r="G137" s="50">
        <f>14</f>
        <v>14</v>
      </c>
      <c r="H137" s="120"/>
      <c r="I137" s="22"/>
      <c r="J137" s="50"/>
      <c r="K137" s="50">
        <f>6</f>
        <v>6</v>
      </c>
      <c r="L137" s="50"/>
      <c r="M137" s="50"/>
      <c r="N137" s="50"/>
      <c r="O137" s="120"/>
      <c r="P137" s="96">
        <f>SUM(J137:N137)</f>
        <v>6</v>
      </c>
      <c r="Q137" s="97">
        <f>IF(C137=2011, P137/3,P137)+O137</f>
        <v>6</v>
      </c>
      <c r="R137" s="22"/>
      <c r="Z137" s="95"/>
      <c r="AA137" s="96"/>
      <c r="AB137" s="97"/>
    </row>
    <row r="138" spans="1:28" x14ac:dyDescent="0.25">
      <c r="A138" s="11" t="s">
        <v>145</v>
      </c>
      <c r="B138" s="60" t="s">
        <v>87</v>
      </c>
      <c r="C138" s="62">
        <v>2010</v>
      </c>
      <c r="D138" s="1">
        <f>Q138+G138+F138+H138+E138</f>
        <v>9.3333333333333339</v>
      </c>
      <c r="E138" s="177"/>
      <c r="F138" s="50"/>
      <c r="G138" s="50"/>
      <c r="H138" s="120"/>
      <c r="I138" s="22"/>
      <c r="J138" s="50"/>
      <c r="K138" s="50"/>
      <c r="L138" s="50"/>
      <c r="M138" s="50"/>
      <c r="N138" s="50">
        <f>AB138</f>
        <v>9.3333333333333339</v>
      </c>
      <c r="O138" s="120"/>
      <c r="P138" s="96">
        <f>SUM(J138:N138)</f>
        <v>9.3333333333333339</v>
      </c>
      <c r="Q138" s="97">
        <f>IF(C138=2011, P138/3,P138)+O138</f>
        <v>9.3333333333333339</v>
      </c>
      <c r="R138" s="22"/>
      <c r="S138" s="41"/>
      <c r="T138" s="41">
        <v>0</v>
      </c>
      <c r="U138" s="41"/>
      <c r="V138" s="41">
        <f>28</f>
        <v>28</v>
      </c>
      <c r="W138" s="41"/>
      <c r="X138" s="41"/>
      <c r="Z138" s="95"/>
      <c r="AA138" s="96">
        <f>SUM(S138:Y138)</f>
        <v>28</v>
      </c>
      <c r="AB138" s="97">
        <f>IF(C138=2010, AA138/3,AA138)+Z138</f>
        <v>9.3333333333333339</v>
      </c>
    </row>
    <row r="139" spans="1:28" x14ac:dyDescent="0.25">
      <c r="A139" s="71" t="s">
        <v>257</v>
      </c>
      <c r="B139" s="71" t="s">
        <v>233</v>
      </c>
      <c r="C139" s="72">
        <v>2011</v>
      </c>
      <c r="D139" s="1">
        <f>Q139+G139+F139+H139+E139</f>
        <v>0</v>
      </c>
      <c r="E139" s="177"/>
      <c r="F139" s="50"/>
      <c r="G139" s="50"/>
      <c r="H139" s="120"/>
      <c r="I139" s="182"/>
      <c r="J139" s="50"/>
      <c r="K139" s="50"/>
      <c r="L139" s="50"/>
      <c r="M139" s="50"/>
      <c r="N139" s="50">
        <f>AB139</f>
        <v>0</v>
      </c>
      <c r="O139" s="120"/>
      <c r="P139" s="96">
        <f>SUM(J139:N139)</f>
        <v>0</v>
      </c>
      <c r="Q139" s="97">
        <f>IF(C139=2011, P139/3,P139)+O139</f>
        <v>0</v>
      </c>
      <c r="R139" s="22"/>
      <c r="S139" s="182"/>
      <c r="T139" s="182"/>
      <c r="U139" s="182">
        <f>0</f>
        <v>0</v>
      </c>
      <c r="V139" s="182"/>
      <c r="W139" s="182"/>
      <c r="X139" s="182"/>
      <c r="Y139" s="36"/>
      <c r="Z139" s="95"/>
      <c r="AA139" s="96">
        <f>SUM(S139:Y139)</f>
        <v>0</v>
      </c>
      <c r="AB139" s="97">
        <f>IF(C139=2015, AA139/3,AA139)+Z139</f>
        <v>0</v>
      </c>
    </row>
    <row r="140" spans="1:28" x14ac:dyDescent="0.25">
      <c r="A140" s="60" t="s">
        <v>161</v>
      </c>
      <c r="B140" s="85" t="s">
        <v>64</v>
      </c>
      <c r="C140" s="62">
        <v>2008</v>
      </c>
      <c r="D140" s="1">
        <f>Q140+G140+F140+H140+E140</f>
        <v>207</v>
      </c>
      <c r="E140" s="177"/>
      <c r="F140" s="50">
        <f>18+3</f>
        <v>21</v>
      </c>
      <c r="G140" s="50">
        <f>0</f>
        <v>0</v>
      </c>
      <c r="H140" s="120">
        <f>6</f>
        <v>6</v>
      </c>
      <c r="I140" s="22"/>
      <c r="J140" s="50"/>
      <c r="K140" s="50">
        <f>12</f>
        <v>12</v>
      </c>
      <c r="L140" s="50">
        <f>162</f>
        <v>162</v>
      </c>
      <c r="M140" s="50">
        <f>0+6</f>
        <v>6</v>
      </c>
      <c r="N140" s="50">
        <f>AB140</f>
        <v>0</v>
      </c>
      <c r="O140" s="120"/>
      <c r="P140" s="96">
        <f>SUM(J140:N140)</f>
        <v>180</v>
      </c>
      <c r="Q140" s="97">
        <f>IF(C140=2011, P140/3,P140)+O140</f>
        <v>180</v>
      </c>
      <c r="R140" s="22"/>
      <c r="T140" s="13">
        <v>0</v>
      </c>
      <c r="Z140" s="95"/>
      <c r="AA140" s="96">
        <f>SUM(S140:Y140)</f>
        <v>0</v>
      </c>
      <c r="AB140" s="97">
        <f>IF(C140=2010, AA140/3,AA140)+Z140</f>
        <v>0</v>
      </c>
    </row>
    <row r="141" spans="1:28" x14ac:dyDescent="0.25">
      <c r="A141" s="11" t="s">
        <v>42</v>
      </c>
      <c r="B141" s="11" t="s">
        <v>40</v>
      </c>
      <c r="C141" s="3">
        <v>2010</v>
      </c>
      <c r="D141" s="1">
        <f>Q141+G141+F141+H141+E141</f>
        <v>1.3333333333333333</v>
      </c>
      <c r="E141" s="177"/>
      <c r="F141" s="50"/>
      <c r="G141" s="50"/>
      <c r="H141" s="120"/>
      <c r="I141" s="22"/>
      <c r="J141" s="50"/>
      <c r="K141" s="50"/>
      <c r="L141" s="50"/>
      <c r="M141" s="50"/>
      <c r="N141" s="50">
        <f>AB141</f>
        <v>1.3333333333333333</v>
      </c>
      <c r="O141" s="120"/>
      <c r="P141" s="96">
        <f>SUM(J141:N141)</f>
        <v>1.3333333333333333</v>
      </c>
      <c r="Q141" s="97">
        <f>IF(C141=2011, P141/3,P141)+O141</f>
        <v>1.3333333333333333</v>
      </c>
      <c r="R141" s="22"/>
      <c r="S141" s="50">
        <v>4</v>
      </c>
      <c r="T141" s="50"/>
      <c r="U141" s="50"/>
      <c r="V141" s="50"/>
      <c r="W141" s="50"/>
      <c r="X141" s="50"/>
      <c r="Y141" s="36"/>
      <c r="Z141" s="95"/>
      <c r="AA141" s="96">
        <f>SUM(S141:Y141)</f>
        <v>4</v>
      </c>
      <c r="AB141" s="97">
        <f>IF(C141=2010, AA141/3,AA141)+Z141</f>
        <v>1.3333333333333333</v>
      </c>
    </row>
    <row r="142" spans="1:28" x14ac:dyDescent="0.25">
      <c r="A142" s="11" t="s">
        <v>102</v>
      </c>
      <c r="B142" s="60" t="s">
        <v>64</v>
      </c>
      <c r="C142" s="62">
        <v>2010</v>
      </c>
      <c r="D142" s="1">
        <f>Q142+G142+F142+H142+E142</f>
        <v>0</v>
      </c>
      <c r="E142" s="177"/>
      <c r="F142" s="50"/>
      <c r="G142" s="50"/>
      <c r="H142" s="120"/>
      <c r="I142" s="22"/>
      <c r="J142" s="50"/>
      <c r="K142" s="50"/>
      <c r="L142" s="50"/>
      <c r="M142" s="50"/>
      <c r="N142" s="50">
        <f>AB142</f>
        <v>0</v>
      </c>
      <c r="O142" s="120"/>
      <c r="P142" s="96">
        <f>SUM(J142:N142)</f>
        <v>0</v>
      </c>
      <c r="Q142" s="97">
        <f>IF(C142=2011, P142/3,P142)+O142</f>
        <v>0</v>
      </c>
      <c r="R142" s="22"/>
      <c r="S142" s="50"/>
      <c r="T142" s="50">
        <v>0</v>
      </c>
      <c r="U142" s="50"/>
      <c r="V142" s="50"/>
      <c r="W142" s="50"/>
      <c r="X142" s="50"/>
      <c r="Y142" s="36"/>
      <c r="Z142" s="95"/>
      <c r="AA142" s="96">
        <f>SUM(S142:Y142)</f>
        <v>0</v>
      </c>
      <c r="AB142" s="97">
        <f>IF(C142=2010, AA142/3,AA142)+Z142</f>
        <v>0</v>
      </c>
    </row>
    <row r="143" spans="1:28" x14ac:dyDescent="0.25">
      <c r="A143" s="11" t="s">
        <v>459</v>
      </c>
      <c r="B143" s="60" t="s">
        <v>7</v>
      </c>
      <c r="C143" s="62">
        <v>2009</v>
      </c>
      <c r="D143" s="1">
        <f>Q143+G143+F143+H143+E143</f>
        <v>68</v>
      </c>
      <c r="E143" s="177"/>
      <c r="F143" s="50"/>
      <c r="G143" s="50"/>
      <c r="H143" s="120"/>
      <c r="I143" s="182"/>
      <c r="J143" s="50"/>
      <c r="K143" s="50"/>
      <c r="L143" s="50">
        <f>0</f>
        <v>0</v>
      </c>
      <c r="M143" s="50">
        <f>1</f>
        <v>1</v>
      </c>
      <c r="N143" s="50">
        <f>AB143</f>
        <v>67</v>
      </c>
      <c r="O143" s="120"/>
      <c r="P143" s="96">
        <f>SUM(J143:N143)</f>
        <v>68</v>
      </c>
      <c r="Q143" s="97">
        <f>IF(C143=2011, P143/3,P143)+O143</f>
        <v>68</v>
      </c>
      <c r="R143" s="22"/>
      <c r="S143" s="182"/>
      <c r="T143" s="182"/>
      <c r="U143" s="182"/>
      <c r="V143" s="182"/>
      <c r="W143" s="182">
        <f>15</f>
        <v>15</v>
      </c>
      <c r="X143" s="182">
        <f>20+30+2</f>
        <v>52</v>
      </c>
      <c r="Y143" s="36"/>
      <c r="Z143" s="95"/>
      <c r="AA143" s="96">
        <f>SUM(S143:Y143)</f>
        <v>67</v>
      </c>
      <c r="AB143" s="97">
        <f>IF(C143=2015, AA143/3,AA143)+Z143</f>
        <v>67</v>
      </c>
    </row>
    <row r="144" spans="1:28" x14ac:dyDescent="0.25">
      <c r="A144" s="60" t="s">
        <v>459</v>
      </c>
      <c r="B144" s="85" t="s">
        <v>7</v>
      </c>
      <c r="C144" s="62">
        <v>2010</v>
      </c>
      <c r="D144" s="1">
        <f>Q144+G144+F144+H144+E144</f>
        <v>3</v>
      </c>
      <c r="E144" s="177"/>
      <c r="F144" s="50"/>
      <c r="G144" s="50"/>
      <c r="H144" s="120"/>
      <c r="I144" s="22"/>
      <c r="J144" s="50"/>
      <c r="K144" s="50">
        <f>0</f>
        <v>0</v>
      </c>
      <c r="L144" s="50"/>
      <c r="M144" s="50">
        <f>0+3</f>
        <v>3</v>
      </c>
      <c r="N144" s="50"/>
      <c r="O144" s="120"/>
      <c r="P144" s="96">
        <f>SUM(J144:N144)</f>
        <v>3</v>
      </c>
      <c r="Q144" s="97">
        <f>IF(C144=2011, P144/3,P144)+O144</f>
        <v>3</v>
      </c>
      <c r="R144" s="22"/>
      <c r="Z144" s="95"/>
      <c r="AA144" s="96"/>
      <c r="AB144" s="97"/>
    </row>
    <row r="145" spans="1:28" x14ac:dyDescent="0.25">
      <c r="A145" s="60" t="s">
        <v>601</v>
      </c>
      <c r="B145" s="85" t="s">
        <v>590</v>
      </c>
      <c r="C145" s="62">
        <v>2010</v>
      </c>
      <c r="D145" s="1">
        <f>Q145+G145+F145+H145+E145</f>
        <v>6</v>
      </c>
      <c r="E145" s="177"/>
      <c r="F145" s="50"/>
      <c r="G145" s="50">
        <f>3</f>
        <v>3</v>
      </c>
      <c r="H145" s="120"/>
      <c r="I145" s="22"/>
      <c r="J145" s="50"/>
      <c r="K145" s="50"/>
      <c r="L145" s="50"/>
      <c r="M145" s="50">
        <f>3</f>
        <v>3</v>
      </c>
      <c r="N145" s="50"/>
      <c r="O145" s="120"/>
      <c r="P145" s="96">
        <f>SUM(J145:N145)</f>
        <v>3</v>
      </c>
      <c r="Q145" s="97">
        <f>IF(C145=2011, P145/3,P145)+O145</f>
        <v>3</v>
      </c>
      <c r="R145" s="22"/>
      <c r="Z145" s="95"/>
      <c r="AA145" s="96"/>
      <c r="AB145" s="97"/>
    </row>
    <row r="146" spans="1:28" x14ac:dyDescent="0.25">
      <c r="A146" s="11" t="s">
        <v>312</v>
      </c>
      <c r="B146" s="71" t="s">
        <v>87</v>
      </c>
      <c r="C146" s="62">
        <v>2010</v>
      </c>
      <c r="D146" s="1">
        <f>Q146+G146+F146+H146+E146</f>
        <v>6</v>
      </c>
      <c r="E146" s="177"/>
      <c r="F146" s="50"/>
      <c r="G146" s="50"/>
      <c r="H146" s="120"/>
      <c r="I146" s="22"/>
      <c r="J146" s="50"/>
      <c r="K146" s="50"/>
      <c r="L146" s="50"/>
      <c r="M146" s="50"/>
      <c r="N146" s="50">
        <f>AB146</f>
        <v>6</v>
      </c>
      <c r="O146" s="120"/>
      <c r="P146" s="96">
        <f>SUM(J146:N146)</f>
        <v>6</v>
      </c>
      <c r="Q146" s="97">
        <f>IF(C146=2011, P146/3,P146)+O146</f>
        <v>6</v>
      </c>
      <c r="R146" s="22"/>
      <c r="S146" s="182"/>
      <c r="T146" s="182"/>
      <c r="U146" s="182"/>
      <c r="V146" s="182">
        <f>18</f>
        <v>18</v>
      </c>
      <c r="W146" s="182"/>
      <c r="X146" s="182"/>
      <c r="Y146" s="36"/>
      <c r="Z146" s="95"/>
      <c r="AA146" s="96">
        <f>SUM(S146:Y146)</f>
        <v>18</v>
      </c>
      <c r="AB146" s="97">
        <f>IF(C146=2010, AA146/3,AA146)+Z146</f>
        <v>6</v>
      </c>
    </row>
    <row r="147" spans="1:28" x14ac:dyDescent="0.25">
      <c r="A147" s="11" t="s">
        <v>682</v>
      </c>
      <c r="B147" s="71" t="s">
        <v>667</v>
      </c>
      <c r="C147" s="62"/>
      <c r="D147" s="1">
        <f>Q147+G147+F147+H147+E147</f>
        <v>21</v>
      </c>
      <c r="E147" s="177"/>
      <c r="F147" s="50"/>
      <c r="G147" s="50"/>
      <c r="H147" s="120"/>
      <c r="I147" s="22"/>
      <c r="J147" s="50"/>
      <c r="K147" s="50"/>
      <c r="L147" s="50">
        <f>21</f>
        <v>21</v>
      </c>
      <c r="M147" s="50"/>
      <c r="N147" s="50"/>
      <c r="O147" s="120"/>
      <c r="P147" s="96">
        <f>SUM(J147:N147)</f>
        <v>21</v>
      </c>
      <c r="Q147" s="97">
        <f>IF(C147=2011, P147/3,P147)+O147</f>
        <v>21</v>
      </c>
      <c r="R147" s="22"/>
      <c r="S147" s="182"/>
      <c r="T147" s="182"/>
      <c r="U147" s="182"/>
      <c r="V147" s="182"/>
      <c r="W147" s="182"/>
      <c r="X147" s="182"/>
      <c r="Y147" s="36"/>
      <c r="Z147" s="95"/>
      <c r="AA147" s="96"/>
      <c r="AB147" s="97"/>
    </row>
    <row r="148" spans="1:28" x14ac:dyDescent="0.25">
      <c r="A148" s="71" t="s">
        <v>280</v>
      </c>
      <c r="B148" s="19" t="s">
        <v>233</v>
      </c>
      <c r="C148" s="72">
        <v>2009</v>
      </c>
      <c r="D148" s="1">
        <f>Q148+G148+F148+H148+E148</f>
        <v>9</v>
      </c>
      <c r="E148" s="177"/>
      <c r="F148" s="50"/>
      <c r="G148" s="50"/>
      <c r="H148" s="120"/>
      <c r="I148" s="22"/>
      <c r="J148" s="50"/>
      <c r="K148" s="50"/>
      <c r="L148" s="50"/>
      <c r="M148" s="50"/>
      <c r="N148" s="50">
        <f>AB148</f>
        <v>9</v>
      </c>
      <c r="O148" s="120"/>
      <c r="P148" s="96">
        <f>SUM(J148:N148)</f>
        <v>9</v>
      </c>
      <c r="Q148" s="97">
        <f>IF(C148=2011, P148/3,P148)+O148</f>
        <v>9</v>
      </c>
      <c r="R148" s="22"/>
      <c r="U148" s="13">
        <v>9</v>
      </c>
      <c r="Z148" s="95"/>
      <c r="AA148" s="96">
        <f>SUM(S148:Y148)</f>
        <v>9</v>
      </c>
      <c r="AB148" s="97">
        <f>IF(C148=2010, AA148/3,AA148)+Z148</f>
        <v>9</v>
      </c>
    </row>
    <row r="149" spans="1:28" x14ac:dyDescent="0.25">
      <c r="A149" s="11" t="s">
        <v>134</v>
      </c>
      <c r="B149" s="60" t="s">
        <v>87</v>
      </c>
      <c r="C149" s="62">
        <v>2010</v>
      </c>
      <c r="D149" s="1">
        <f>Q149+G149+F149+H149+E149</f>
        <v>19.333333333333332</v>
      </c>
      <c r="E149" s="177"/>
      <c r="F149" s="50"/>
      <c r="G149" s="50"/>
      <c r="H149" s="120"/>
      <c r="I149" s="22"/>
      <c r="J149" s="50"/>
      <c r="K149" s="50"/>
      <c r="L149" s="50"/>
      <c r="M149" s="50"/>
      <c r="N149" s="50">
        <f>AB149</f>
        <v>19.333333333333332</v>
      </c>
      <c r="O149" s="120"/>
      <c r="P149" s="96">
        <f>SUM(J149:N149)</f>
        <v>19.333333333333332</v>
      </c>
      <c r="Q149" s="97">
        <f>IF(C149=2011, P149/3,P149)+O149</f>
        <v>19.333333333333332</v>
      </c>
      <c r="R149" s="22"/>
      <c r="S149" s="41"/>
      <c r="T149" s="41">
        <f>8+2</f>
        <v>10</v>
      </c>
      <c r="U149" s="41"/>
      <c r="V149" s="41">
        <f>45+3</f>
        <v>48</v>
      </c>
      <c r="W149" s="41"/>
      <c r="X149" s="41"/>
      <c r="Z149" s="95"/>
      <c r="AA149" s="96">
        <f>SUM(S149:Y149)</f>
        <v>58</v>
      </c>
      <c r="AB149" s="97">
        <f>IF(C149=2010, AA149/3,AA149)+Z149</f>
        <v>19.333333333333332</v>
      </c>
    </row>
    <row r="150" spans="1:28" x14ac:dyDescent="0.25">
      <c r="A150" s="11" t="s">
        <v>400</v>
      </c>
      <c r="B150" s="60" t="s">
        <v>112</v>
      </c>
      <c r="C150" s="62">
        <v>2011</v>
      </c>
      <c r="D150" s="1">
        <f>Q150+G150+F150+H150+E150</f>
        <v>9.6666666666666661</v>
      </c>
      <c r="E150" s="177"/>
      <c r="F150" s="50"/>
      <c r="G150" s="50"/>
      <c r="H150" s="120"/>
      <c r="I150" s="182"/>
      <c r="J150" s="50"/>
      <c r="K150" s="50"/>
      <c r="L150" s="50"/>
      <c r="M150" s="50"/>
      <c r="N150" s="50">
        <f>AB150</f>
        <v>29</v>
      </c>
      <c r="O150" s="120"/>
      <c r="P150" s="96">
        <f>SUM(J150:N150)</f>
        <v>29</v>
      </c>
      <c r="Q150" s="97">
        <f>IF(C150=2011, P150/3,P150)+O150</f>
        <v>9.6666666666666661</v>
      </c>
      <c r="R150" s="22"/>
      <c r="S150" s="41"/>
      <c r="T150" s="41"/>
      <c r="U150" s="41"/>
      <c r="V150" s="41"/>
      <c r="W150" s="41">
        <f>29</f>
        <v>29</v>
      </c>
      <c r="X150" s="41"/>
      <c r="Z150" s="95"/>
      <c r="AA150" s="96">
        <f>SUM(S150:Y150)</f>
        <v>29</v>
      </c>
      <c r="AB150" s="97">
        <f>IF(C150=2015, AA150/3,AA150)+Z150</f>
        <v>29</v>
      </c>
    </row>
    <row r="151" spans="1:28" x14ac:dyDescent="0.25">
      <c r="A151" s="11" t="s">
        <v>491</v>
      </c>
      <c r="B151" s="60" t="s">
        <v>482</v>
      </c>
      <c r="C151" s="62">
        <v>2011</v>
      </c>
      <c r="D151" s="1">
        <f>Q151+G151+F151+H151+E151</f>
        <v>56</v>
      </c>
      <c r="E151" s="177"/>
      <c r="F151" s="50"/>
      <c r="G151" s="50"/>
      <c r="H151" s="120"/>
      <c r="I151" s="50"/>
      <c r="J151" s="50"/>
      <c r="K151" s="50">
        <f>42</f>
        <v>42</v>
      </c>
      <c r="L151" s="50">
        <f>66</f>
        <v>66</v>
      </c>
      <c r="M151" s="50">
        <f>32</f>
        <v>32</v>
      </c>
      <c r="N151" s="50">
        <f>AB151</f>
        <v>28</v>
      </c>
      <c r="O151" s="120"/>
      <c r="P151" s="96">
        <f>SUM(J151:N151)</f>
        <v>168</v>
      </c>
      <c r="Q151" s="97">
        <f>IF(C151=2011, P151/3,P151)+O151</f>
        <v>56</v>
      </c>
      <c r="R151" s="22"/>
      <c r="S151" s="41"/>
      <c r="T151" s="41"/>
      <c r="U151" s="41"/>
      <c r="V151" s="41"/>
      <c r="W151" s="41"/>
      <c r="X151" s="41">
        <f>28</f>
        <v>28</v>
      </c>
      <c r="Z151" s="95"/>
      <c r="AA151" s="96">
        <f>SUM(S151:Y151)</f>
        <v>28</v>
      </c>
      <c r="AB151" s="97">
        <f>IF(C151=2015, AA151/3,AA151)+Z151</f>
        <v>28</v>
      </c>
    </row>
    <row r="152" spans="1:28" x14ac:dyDescent="0.25">
      <c r="A152" s="11" t="s">
        <v>599</v>
      </c>
      <c r="B152" s="60" t="s">
        <v>590</v>
      </c>
      <c r="C152" s="62">
        <v>2009</v>
      </c>
      <c r="D152" s="1">
        <f>Q152+G152+F152+H152+E152</f>
        <v>6</v>
      </c>
      <c r="E152" s="177"/>
      <c r="F152" s="50"/>
      <c r="G152" s="50">
        <f>3</f>
        <v>3</v>
      </c>
      <c r="H152" s="120"/>
      <c r="I152" s="22"/>
      <c r="J152" s="50"/>
      <c r="K152" s="50"/>
      <c r="L152" s="50"/>
      <c r="M152" s="50">
        <f>3</f>
        <v>3</v>
      </c>
      <c r="N152" s="50"/>
      <c r="O152" s="120"/>
      <c r="P152" s="96">
        <f>SUM(J152:N152)</f>
        <v>3</v>
      </c>
      <c r="Q152" s="97">
        <f>IF(C152=2011, P152/3,P152)+O152</f>
        <v>3</v>
      </c>
      <c r="R152" s="22"/>
      <c r="S152" s="41"/>
      <c r="T152" s="41"/>
      <c r="U152" s="41"/>
      <c r="V152" s="41"/>
      <c r="W152" s="41"/>
      <c r="X152" s="41"/>
      <c r="Z152" s="95"/>
      <c r="AA152" s="96"/>
      <c r="AB152" s="97"/>
    </row>
    <row r="153" spans="1:28" x14ac:dyDescent="0.25">
      <c r="A153" s="11" t="s">
        <v>405</v>
      </c>
      <c r="B153" s="60" t="s">
        <v>112</v>
      </c>
      <c r="C153" s="62">
        <v>2010</v>
      </c>
      <c r="D153" s="1">
        <f>Q153+G153+F153+H153+E153</f>
        <v>51.333333333333329</v>
      </c>
      <c r="E153" s="177"/>
      <c r="F153" s="50"/>
      <c r="G153" s="50"/>
      <c r="H153" s="120"/>
      <c r="I153" s="22"/>
      <c r="J153" s="50">
        <f>0+8</f>
        <v>8</v>
      </c>
      <c r="K153" s="50">
        <f>5+9</f>
        <v>14</v>
      </c>
      <c r="L153" s="50">
        <f>0+5</f>
        <v>5</v>
      </c>
      <c r="M153" s="50"/>
      <c r="N153" s="50">
        <f>AB153</f>
        <v>24.333333333333332</v>
      </c>
      <c r="O153" s="120"/>
      <c r="P153" s="96">
        <f>SUM(J153:N153)</f>
        <v>51.333333333333329</v>
      </c>
      <c r="Q153" s="97">
        <f>IF(C153=2011, P153/3,P153)+O153</f>
        <v>51.333333333333329</v>
      </c>
      <c r="R153" s="22"/>
      <c r="S153" s="41"/>
      <c r="T153" s="41"/>
      <c r="U153" s="41"/>
      <c r="V153" s="41"/>
      <c r="W153" s="41">
        <f>21+15</f>
        <v>36</v>
      </c>
      <c r="X153" s="41">
        <f>37</f>
        <v>37</v>
      </c>
      <c r="Z153" s="95"/>
      <c r="AA153" s="96">
        <f>SUM(S153:Y153)</f>
        <v>73</v>
      </c>
      <c r="AB153" s="97">
        <f>IF(C153=2010, AA153/3,AA153)+Z153</f>
        <v>24.333333333333332</v>
      </c>
    </row>
    <row r="154" spans="1:28" x14ac:dyDescent="0.25">
      <c r="A154" s="60" t="s">
        <v>386</v>
      </c>
      <c r="B154" s="85" t="s">
        <v>383</v>
      </c>
      <c r="C154" s="62">
        <v>2008</v>
      </c>
      <c r="D154" s="1">
        <f>Q154+G154+F154+H154+E154</f>
        <v>15</v>
      </c>
      <c r="E154" s="177"/>
      <c r="F154" s="50"/>
      <c r="G154" s="50"/>
      <c r="H154" s="120"/>
      <c r="I154" s="22"/>
      <c r="J154" s="50"/>
      <c r="K154" s="50"/>
      <c r="L154" s="50"/>
      <c r="M154" s="50"/>
      <c r="N154" s="50">
        <f>AB154</f>
        <v>15</v>
      </c>
      <c r="O154" s="120"/>
      <c r="P154" s="96">
        <f>SUM(J154:N154)</f>
        <v>15</v>
      </c>
      <c r="Q154" s="97">
        <f>IF(C154=2011, P154/3,P154)+O154</f>
        <v>15</v>
      </c>
      <c r="R154" s="22"/>
      <c r="V154" s="13">
        <f>15</f>
        <v>15</v>
      </c>
      <c r="Z154" s="95"/>
      <c r="AA154" s="96">
        <f>SUM(S154:Y154)</f>
        <v>15</v>
      </c>
      <c r="AB154" s="97">
        <f>IF(C154=2010, AA154/3,AA154)+Z154</f>
        <v>15</v>
      </c>
    </row>
    <row r="155" spans="1:28" x14ac:dyDescent="0.25">
      <c r="A155" s="71" t="s">
        <v>282</v>
      </c>
      <c r="B155" s="19" t="s">
        <v>233</v>
      </c>
      <c r="C155" s="72">
        <v>2009</v>
      </c>
      <c r="D155" s="1">
        <f>Q155+G155+F155+H155+E155</f>
        <v>23</v>
      </c>
      <c r="E155" s="177"/>
      <c r="F155" s="50"/>
      <c r="G155" s="50"/>
      <c r="H155" s="120"/>
      <c r="I155" s="22"/>
      <c r="J155" s="50"/>
      <c r="K155" s="50"/>
      <c r="L155" s="50">
        <f>20</f>
        <v>20</v>
      </c>
      <c r="M155" s="50"/>
      <c r="N155" s="50">
        <f>AB155</f>
        <v>3</v>
      </c>
      <c r="O155" s="120"/>
      <c r="P155" s="96">
        <f>SUM(J155:N155)</f>
        <v>23</v>
      </c>
      <c r="Q155" s="97">
        <f>IF(C155=2011, P155/3,P155)+O155</f>
        <v>23</v>
      </c>
      <c r="R155" s="22"/>
      <c r="U155" s="13">
        <v>3</v>
      </c>
      <c r="Z155" s="95"/>
      <c r="AA155" s="96">
        <f>SUM(S155:Y155)</f>
        <v>3</v>
      </c>
      <c r="AB155" s="97">
        <f>IF(C155=2010, AA155/3,AA155)+Z155</f>
        <v>3</v>
      </c>
    </row>
    <row r="156" spans="1:28" x14ac:dyDescent="0.25">
      <c r="A156" s="71" t="s">
        <v>592</v>
      </c>
      <c r="B156" s="71" t="s">
        <v>590</v>
      </c>
      <c r="C156" s="72">
        <v>2011</v>
      </c>
      <c r="D156" s="1">
        <f>Q156+G156+F156+H156+E156</f>
        <v>3</v>
      </c>
      <c r="E156" s="177"/>
      <c r="F156" s="50"/>
      <c r="G156" s="50"/>
      <c r="H156" s="120"/>
      <c r="I156" s="182"/>
      <c r="J156" s="50"/>
      <c r="K156" s="50"/>
      <c r="L156" s="50"/>
      <c r="M156" s="50">
        <f>0</f>
        <v>0</v>
      </c>
      <c r="N156" s="50"/>
      <c r="O156" s="120">
        <f>3</f>
        <v>3</v>
      </c>
      <c r="P156" s="96">
        <f>SUM(J156:N156)</f>
        <v>0</v>
      </c>
      <c r="Q156" s="97">
        <f>IF(C156=2011, P156/3,P156)+O156</f>
        <v>3</v>
      </c>
      <c r="R156" s="22"/>
      <c r="S156" s="50"/>
      <c r="T156" s="50"/>
      <c r="U156" s="50"/>
      <c r="V156" s="50"/>
      <c r="W156" s="50"/>
      <c r="X156" s="50"/>
      <c r="Y156" s="36"/>
      <c r="Z156" s="95"/>
      <c r="AA156" s="96"/>
      <c r="AB156" s="97"/>
    </row>
    <row r="157" spans="1:28" x14ac:dyDescent="0.25">
      <c r="A157" s="11" t="s">
        <v>94</v>
      </c>
      <c r="B157" s="61" t="s">
        <v>87</v>
      </c>
      <c r="C157" s="62">
        <v>2010</v>
      </c>
      <c r="D157" s="1">
        <f>Q157+G157+F157+H157+E157</f>
        <v>13</v>
      </c>
      <c r="E157" s="177"/>
      <c r="F157" s="50"/>
      <c r="G157" s="50"/>
      <c r="H157" s="120"/>
      <c r="I157" s="22"/>
      <c r="J157" s="50"/>
      <c r="K157" s="50"/>
      <c r="L157" s="50"/>
      <c r="M157" s="50"/>
      <c r="N157" s="50">
        <f>AB157</f>
        <v>13</v>
      </c>
      <c r="O157" s="120"/>
      <c r="P157" s="96">
        <f>SUM(J157:N157)</f>
        <v>13</v>
      </c>
      <c r="Q157" s="97">
        <f>IF(C157=2011, P157/3,P157)+O157</f>
        <v>13</v>
      </c>
      <c r="R157" s="22"/>
      <c r="S157" s="50"/>
      <c r="T157" s="50">
        <v>39</v>
      </c>
      <c r="U157" s="50"/>
      <c r="V157" s="50"/>
      <c r="W157" s="50"/>
      <c r="X157" s="50"/>
      <c r="Y157" s="36"/>
      <c r="Z157" s="95"/>
      <c r="AA157" s="96">
        <f>SUM(S157:Y157)</f>
        <v>39</v>
      </c>
      <c r="AB157" s="97">
        <f>IF(C157=2010, AA157/3,AA157)+Z157</f>
        <v>13</v>
      </c>
    </row>
    <row r="158" spans="1:28" x14ac:dyDescent="0.25">
      <c r="A158" s="60" t="s">
        <v>177</v>
      </c>
      <c r="B158" s="85" t="s">
        <v>64</v>
      </c>
      <c r="C158" s="62">
        <v>2009</v>
      </c>
      <c r="D158" s="1">
        <f>Q158+G158+F158+H158+E158</f>
        <v>254</v>
      </c>
      <c r="E158" s="177"/>
      <c r="F158" s="50">
        <f>24+3</f>
        <v>27</v>
      </c>
      <c r="G158" s="50">
        <f>24</f>
        <v>24</v>
      </c>
      <c r="H158" s="120">
        <f>3+6+3</f>
        <v>12</v>
      </c>
      <c r="I158" s="22"/>
      <c r="J158" s="50"/>
      <c r="K158" s="50">
        <f>18</f>
        <v>18</v>
      </c>
      <c r="L158" s="50">
        <f>90</f>
        <v>90</v>
      </c>
      <c r="M158" s="50">
        <f>15+6</f>
        <v>21</v>
      </c>
      <c r="N158" s="50">
        <f>AB158</f>
        <v>62</v>
      </c>
      <c r="O158" s="120"/>
      <c r="P158" s="96">
        <f>SUM(J158:N158)</f>
        <v>191</v>
      </c>
      <c r="Q158" s="97">
        <f>IF(C158=2011, P158/3,P158)+O158</f>
        <v>191</v>
      </c>
      <c r="R158" s="22"/>
      <c r="T158" s="13">
        <v>42</v>
      </c>
      <c r="Y158" s="13">
        <f>20</f>
        <v>20</v>
      </c>
      <c r="Z158" s="95"/>
      <c r="AA158" s="96">
        <f>SUM(S158:Y158)</f>
        <v>62</v>
      </c>
      <c r="AB158" s="97">
        <f>IF(C158=2010, AA158/3,AA158)+Z158</f>
        <v>62</v>
      </c>
    </row>
    <row r="159" spans="1:28" x14ac:dyDescent="0.25">
      <c r="A159" s="11" t="s">
        <v>99</v>
      </c>
      <c r="B159" s="61" t="s">
        <v>88</v>
      </c>
      <c r="C159" s="62">
        <v>2010</v>
      </c>
      <c r="D159" s="1">
        <f>Q159+G159+F159+H159+E159</f>
        <v>18</v>
      </c>
      <c r="E159" s="177"/>
      <c r="F159" s="50"/>
      <c r="G159" s="50"/>
      <c r="H159" s="120"/>
      <c r="I159" s="22"/>
      <c r="J159" s="50"/>
      <c r="K159" s="50"/>
      <c r="L159" s="50"/>
      <c r="M159" s="50"/>
      <c r="N159" s="50">
        <f>AB159</f>
        <v>18</v>
      </c>
      <c r="O159" s="120"/>
      <c r="P159" s="96">
        <f>SUM(J159:N159)</f>
        <v>18</v>
      </c>
      <c r="Q159" s="97">
        <f>IF(C159=2011, P159/3,P159)+O159</f>
        <v>18</v>
      </c>
      <c r="R159" s="22"/>
      <c r="S159" s="50"/>
      <c r="T159" s="50">
        <v>18</v>
      </c>
      <c r="U159" s="50"/>
      <c r="V159" s="50"/>
      <c r="W159" s="50"/>
      <c r="X159" s="50"/>
      <c r="Y159" s="36"/>
      <c r="Z159" s="95">
        <f>12</f>
        <v>12</v>
      </c>
      <c r="AA159" s="96">
        <f>SUM(S159:Y159)</f>
        <v>18</v>
      </c>
      <c r="AB159" s="97">
        <f>IF(C159=2010, AA159/3,AA159)+Z159</f>
        <v>18</v>
      </c>
    </row>
    <row r="160" spans="1:28" x14ac:dyDescent="0.25">
      <c r="A160" s="60" t="s">
        <v>389</v>
      </c>
      <c r="B160" s="65" t="s">
        <v>383</v>
      </c>
      <c r="C160" s="62">
        <v>2009</v>
      </c>
      <c r="D160" s="1">
        <f>Q160+G160+F160+H160+E160</f>
        <v>0</v>
      </c>
      <c r="E160" s="177"/>
      <c r="F160" s="50"/>
      <c r="G160" s="50"/>
      <c r="H160" s="120"/>
      <c r="I160" s="22"/>
      <c r="J160" s="50"/>
      <c r="K160" s="50"/>
      <c r="L160" s="50"/>
      <c r="M160" s="50"/>
      <c r="N160" s="50">
        <f>AB160</f>
        <v>0</v>
      </c>
      <c r="O160" s="120"/>
      <c r="P160" s="96">
        <f>SUM(J160:N160)</f>
        <v>0</v>
      </c>
      <c r="Q160" s="97">
        <f>IF(C160=2011, P160/3,P160)+O160</f>
        <v>0</v>
      </c>
      <c r="R160" s="22"/>
      <c r="V160" s="13">
        <f>0</f>
        <v>0</v>
      </c>
      <c r="Z160" s="95"/>
      <c r="AA160" s="96">
        <f>SUM(S160:Y160)</f>
        <v>0</v>
      </c>
      <c r="AB160" s="97">
        <f>IF(C160=2010, AA160/3,AA160)+Z160</f>
        <v>0</v>
      </c>
    </row>
    <row r="161" spans="1:28" x14ac:dyDescent="0.25">
      <c r="A161" s="11" t="s">
        <v>597</v>
      </c>
      <c r="B161" s="61" t="s">
        <v>590</v>
      </c>
      <c r="C161" s="62">
        <v>2009</v>
      </c>
      <c r="D161" s="1">
        <f>Q161+G161+F161+H161+E161</f>
        <v>6</v>
      </c>
      <c r="E161" s="177"/>
      <c r="F161" s="50"/>
      <c r="G161" s="50">
        <f>3</f>
        <v>3</v>
      </c>
      <c r="H161" s="120"/>
      <c r="I161" s="22"/>
      <c r="J161" s="50"/>
      <c r="K161" s="50"/>
      <c r="L161" s="50"/>
      <c r="M161" s="50">
        <f>3</f>
        <v>3</v>
      </c>
      <c r="N161" s="50"/>
      <c r="O161" s="120"/>
      <c r="P161" s="96">
        <f>SUM(J161:N161)</f>
        <v>3</v>
      </c>
      <c r="Q161" s="97">
        <f>IF(C161=2011, P161/3,P161)+O161</f>
        <v>3</v>
      </c>
      <c r="R161" s="22"/>
      <c r="S161" s="50"/>
      <c r="T161" s="50"/>
      <c r="U161" s="50"/>
      <c r="V161" s="50"/>
      <c r="W161" s="50"/>
      <c r="X161" s="50"/>
      <c r="Y161" s="36"/>
      <c r="Z161" s="95"/>
      <c r="AA161" s="96"/>
      <c r="AB161" s="97"/>
    </row>
    <row r="162" spans="1:28" x14ac:dyDescent="0.25">
      <c r="A162" s="11" t="s">
        <v>308</v>
      </c>
      <c r="B162" s="61" t="s">
        <v>0</v>
      </c>
      <c r="C162" s="62">
        <v>2010</v>
      </c>
      <c r="D162" s="1">
        <f>Q162+G162+F162+H162+E162</f>
        <v>74.333333333333343</v>
      </c>
      <c r="E162" s="177">
        <f>24</f>
        <v>24</v>
      </c>
      <c r="F162" s="50">
        <f>6</f>
        <v>6</v>
      </c>
      <c r="G162" s="50">
        <f>0+3</f>
        <v>3</v>
      </c>
      <c r="H162" s="120">
        <f>3</f>
        <v>3</v>
      </c>
      <c r="I162" s="22"/>
      <c r="J162" s="50">
        <f>8</f>
        <v>8</v>
      </c>
      <c r="K162" s="50">
        <f>10</f>
        <v>10</v>
      </c>
      <c r="L162" s="50">
        <f>10</f>
        <v>10</v>
      </c>
      <c r="M162" s="50"/>
      <c r="N162" s="50">
        <f>AB162</f>
        <v>10.333333333333334</v>
      </c>
      <c r="O162" s="120"/>
      <c r="P162" s="96">
        <f>SUM(J162:N162)</f>
        <v>38.333333333333336</v>
      </c>
      <c r="Q162" s="97">
        <f>IF(C162=2011, P162/3,P162)+O162</f>
        <v>38.333333333333336</v>
      </c>
      <c r="R162" s="22"/>
      <c r="S162" s="182"/>
      <c r="T162" s="182"/>
      <c r="U162" s="182"/>
      <c r="V162" s="182">
        <f>28</f>
        <v>28</v>
      </c>
      <c r="W162" s="182"/>
      <c r="X162" s="182">
        <f>3</f>
        <v>3</v>
      </c>
      <c r="Y162" s="36"/>
      <c r="Z162" s="95"/>
      <c r="AA162" s="96">
        <f>SUM(S162:Y162)</f>
        <v>31</v>
      </c>
      <c r="AB162" s="97">
        <f>IF(C162=2010, AA162/3,AA162)+Z162</f>
        <v>10.333333333333334</v>
      </c>
    </row>
    <row r="163" spans="1:28" x14ac:dyDescent="0.25">
      <c r="A163" s="71" t="s">
        <v>283</v>
      </c>
      <c r="B163" s="19" t="s">
        <v>233</v>
      </c>
      <c r="C163" s="72">
        <v>2009</v>
      </c>
      <c r="D163" s="1">
        <f>Q163+G163+F163+H163+E163</f>
        <v>0</v>
      </c>
      <c r="E163" s="177"/>
      <c r="F163" s="50"/>
      <c r="G163" s="50"/>
      <c r="H163" s="120"/>
      <c r="I163" s="22"/>
      <c r="J163" s="50"/>
      <c r="K163" s="50"/>
      <c r="L163" s="50"/>
      <c r="M163" s="50"/>
      <c r="N163" s="50">
        <f>AB163</f>
        <v>0</v>
      </c>
      <c r="O163" s="120"/>
      <c r="P163" s="96">
        <f>SUM(J163:N163)</f>
        <v>0</v>
      </c>
      <c r="Q163" s="97">
        <f>IF(C163=2011, P163/3,P163)+O163</f>
        <v>0</v>
      </c>
      <c r="R163" s="22"/>
      <c r="U163" s="13">
        <v>0</v>
      </c>
      <c r="Z163" s="95"/>
      <c r="AA163" s="96">
        <f>SUM(S163:Y163)</f>
        <v>0</v>
      </c>
      <c r="AB163" s="97">
        <f>IF(C163=2010, AA163/3,AA163)+Z163</f>
        <v>0</v>
      </c>
    </row>
    <row r="164" spans="1:28" x14ac:dyDescent="0.25">
      <c r="A164" s="11" t="s">
        <v>96</v>
      </c>
      <c r="B164" s="61" t="s">
        <v>63</v>
      </c>
      <c r="C164" s="62">
        <v>2011</v>
      </c>
      <c r="D164" s="1">
        <f>Q164+G164+F164+H164+E164</f>
        <v>109.33333333333333</v>
      </c>
      <c r="E164" s="177">
        <f>0+6</f>
        <v>6</v>
      </c>
      <c r="F164" s="50">
        <f>0+6</f>
        <v>6</v>
      </c>
      <c r="G164" s="50">
        <f>0+9</f>
        <v>9</v>
      </c>
      <c r="H164" s="120"/>
      <c r="I164" s="50"/>
      <c r="J164" s="50">
        <f>0</f>
        <v>0</v>
      </c>
      <c r="K164" s="50"/>
      <c r="L164" s="50">
        <f>32+33</f>
        <v>65</v>
      </c>
      <c r="M164" s="50">
        <f>16+45</f>
        <v>61</v>
      </c>
      <c r="N164" s="50">
        <f>AB164</f>
        <v>139</v>
      </c>
      <c r="O164" s="120"/>
      <c r="P164" s="96">
        <f>SUM(J164:N164)</f>
        <v>265</v>
      </c>
      <c r="Q164" s="97">
        <f>IF(C164=2011, P164/3,P164)+O164</f>
        <v>88.333333333333329</v>
      </c>
      <c r="R164" s="22"/>
      <c r="S164" s="50"/>
      <c r="T164" s="50">
        <f>33+3</f>
        <v>36</v>
      </c>
      <c r="U164" s="50"/>
      <c r="V164" s="50">
        <f>27+6</f>
        <v>33</v>
      </c>
      <c r="W164" s="50"/>
      <c r="X164" s="50">
        <f>32+15</f>
        <v>47</v>
      </c>
      <c r="Y164" s="36">
        <f>23</f>
        <v>23</v>
      </c>
      <c r="Z164" s="95"/>
      <c r="AA164" s="96">
        <f>SUM(S164:Y164)</f>
        <v>139</v>
      </c>
      <c r="AB164" s="97">
        <f>IF(C164=2015, AA164/3,AA164)+Z164</f>
        <v>139</v>
      </c>
    </row>
    <row r="165" spans="1:28" x14ac:dyDescent="0.25">
      <c r="A165" s="11" t="s">
        <v>98</v>
      </c>
      <c r="B165" s="60" t="s">
        <v>64</v>
      </c>
      <c r="C165" s="62">
        <v>2011</v>
      </c>
      <c r="D165" s="1">
        <f>Q165+G165+F165+H165+E165</f>
        <v>113</v>
      </c>
      <c r="E165" s="177"/>
      <c r="F165" s="50">
        <f>9+3</f>
        <v>12</v>
      </c>
      <c r="G165" s="50">
        <f>24</f>
        <v>24</v>
      </c>
      <c r="H165" s="120">
        <f>6</f>
        <v>6</v>
      </c>
      <c r="I165" s="182"/>
      <c r="J165" s="50"/>
      <c r="K165" s="50"/>
      <c r="L165" s="50">
        <f>162</f>
        <v>162</v>
      </c>
      <c r="M165" s="50">
        <f>0</f>
        <v>0</v>
      </c>
      <c r="N165" s="50">
        <f>AB165</f>
        <v>33</v>
      </c>
      <c r="O165" s="120">
        <f>6</f>
        <v>6</v>
      </c>
      <c r="P165" s="96">
        <f>SUM(J165:N165)</f>
        <v>195</v>
      </c>
      <c r="Q165" s="97">
        <f>IF(C165=2011, P165/3,P165)+O165</f>
        <v>71</v>
      </c>
      <c r="R165" s="22"/>
      <c r="S165" s="182"/>
      <c r="T165" s="182">
        <v>18</v>
      </c>
      <c r="U165" s="182"/>
      <c r="V165" s="182"/>
      <c r="W165" s="182"/>
      <c r="X165" s="182"/>
      <c r="Y165" s="36">
        <f>15</f>
        <v>15</v>
      </c>
      <c r="Z165" s="95"/>
      <c r="AA165" s="96">
        <f>SUM(S165:Y165)</f>
        <v>33</v>
      </c>
      <c r="AB165" s="97">
        <f>IF(C165=2015, AA165/3,AA165)+Z165</f>
        <v>33</v>
      </c>
    </row>
    <row r="166" spans="1:28" x14ac:dyDescent="0.25">
      <c r="A166" s="71" t="s">
        <v>551</v>
      </c>
      <c r="B166" s="71" t="s">
        <v>233</v>
      </c>
      <c r="C166" s="72">
        <v>2011</v>
      </c>
      <c r="D166" s="1">
        <f>Q166+G166+F166+H166+E166</f>
        <v>95.333333333333343</v>
      </c>
      <c r="E166" s="177"/>
      <c r="F166" s="50"/>
      <c r="G166" s="50">
        <f>40</f>
        <v>40</v>
      </c>
      <c r="H166" s="120"/>
      <c r="I166" s="182"/>
      <c r="J166" s="50">
        <f>28</f>
        <v>28</v>
      </c>
      <c r="K166" s="50">
        <f>45</f>
        <v>45</v>
      </c>
      <c r="L166" s="50">
        <f>53</f>
        <v>53</v>
      </c>
      <c r="M166" s="50">
        <f>40</f>
        <v>40</v>
      </c>
      <c r="N166" s="50"/>
      <c r="O166" s="120"/>
      <c r="P166" s="96">
        <f>SUM(J166:N166)</f>
        <v>166</v>
      </c>
      <c r="Q166" s="97">
        <f>IF(C166=2011, P166/3,P166)+O166</f>
        <v>55.333333333333336</v>
      </c>
      <c r="R166" s="22"/>
      <c r="S166" s="182"/>
      <c r="T166" s="182"/>
      <c r="U166" s="182"/>
      <c r="V166" s="182"/>
      <c r="W166" s="182"/>
      <c r="X166" s="182"/>
      <c r="Y166" s="36"/>
      <c r="Z166" s="95"/>
      <c r="AA166" s="96"/>
      <c r="AB166" s="97"/>
    </row>
    <row r="167" spans="1:28" x14ac:dyDescent="0.25">
      <c r="A167" s="60" t="s">
        <v>582</v>
      </c>
      <c r="B167" s="65" t="s">
        <v>64</v>
      </c>
      <c r="C167" s="62">
        <v>2009</v>
      </c>
      <c r="D167" s="1">
        <f>Q167+G167+F167+H167+E167</f>
        <v>63</v>
      </c>
      <c r="E167" s="177"/>
      <c r="F167" s="50"/>
      <c r="G167" s="50">
        <f>0</f>
        <v>0</v>
      </c>
      <c r="H167" s="120">
        <f>6</f>
        <v>6</v>
      </c>
      <c r="I167" s="22"/>
      <c r="J167" s="50"/>
      <c r="K167" s="50">
        <f>0</f>
        <v>0</v>
      </c>
      <c r="L167" s="50">
        <f>39</f>
        <v>39</v>
      </c>
      <c r="M167" s="50">
        <f>12+6</f>
        <v>18</v>
      </c>
      <c r="N167" s="50"/>
      <c r="O167" s="120"/>
      <c r="P167" s="96">
        <f>SUM(J167:N167)</f>
        <v>57</v>
      </c>
      <c r="Q167" s="97">
        <f>IF(C167=2011, P167/3,P167)+O167</f>
        <v>57</v>
      </c>
      <c r="R167" s="22"/>
      <c r="Z167" s="95"/>
      <c r="AA167" s="96"/>
      <c r="AB167" s="97"/>
    </row>
    <row r="168" spans="1:28" x14ac:dyDescent="0.25">
      <c r="A168" s="60" t="s">
        <v>598</v>
      </c>
      <c r="B168" s="65" t="s">
        <v>590</v>
      </c>
      <c r="C168" s="62">
        <v>2010</v>
      </c>
      <c r="D168" s="1">
        <f>Q168+G168+F168+H168+E168</f>
        <v>3</v>
      </c>
      <c r="E168" s="177"/>
      <c r="F168" s="50"/>
      <c r="G168" s="50"/>
      <c r="H168" s="120"/>
      <c r="I168" s="22"/>
      <c r="J168" s="50"/>
      <c r="K168" s="50"/>
      <c r="L168" s="50"/>
      <c r="M168" s="50">
        <f>3</f>
        <v>3</v>
      </c>
      <c r="N168" s="50"/>
      <c r="O168" s="120"/>
      <c r="P168" s="96">
        <f>SUM(J168:N168)</f>
        <v>3</v>
      </c>
      <c r="Q168" s="97">
        <f>IF(C168=2011, P168/3,P168)+O168</f>
        <v>3</v>
      </c>
      <c r="R168" s="22"/>
      <c r="Z168" s="95"/>
      <c r="AA168" s="96"/>
      <c r="AB168" s="97"/>
    </row>
    <row r="169" spans="1:28" x14ac:dyDescent="0.25">
      <c r="A169" s="71" t="s">
        <v>595</v>
      </c>
      <c r="B169" s="71" t="s">
        <v>590</v>
      </c>
      <c r="C169" s="72">
        <v>2011</v>
      </c>
      <c r="D169" s="1">
        <f>Q169+G169+F169+H169+E169</f>
        <v>6</v>
      </c>
      <c r="E169" s="177"/>
      <c r="F169" s="50"/>
      <c r="G169" s="50">
        <f>3</f>
        <v>3</v>
      </c>
      <c r="H169" s="120"/>
      <c r="I169" s="182"/>
      <c r="J169" s="50"/>
      <c r="K169" s="50"/>
      <c r="L169" s="50"/>
      <c r="M169" s="50">
        <f>0</f>
        <v>0</v>
      </c>
      <c r="N169" s="50"/>
      <c r="O169" s="120">
        <f>3</f>
        <v>3</v>
      </c>
      <c r="P169" s="96">
        <f>SUM(J169:N169)</f>
        <v>0</v>
      </c>
      <c r="Q169" s="97">
        <f>IF(C169=2011, P169/3,P169)+O169</f>
        <v>3</v>
      </c>
      <c r="R169" s="22"/>
      <c r="S169" s="50"/>
      <c r="T169" s="50"/>
      <c r="U169" s="50"/>
      <c r="V169" s="50"/>
      <c r="W169" s="50"/>
      <c r="X169" s="50"/>
      <c r="Y169" s="36"/>
      <c r="Z169" s="95"/>
      <c r="AA169" s="96"/>
      <c r="AB169" s="97"/>
    </row>
    <row r="170" spans="1:28" x14ac:dyDescent="0.25">
      <c r="A170" s="60" t="s">
        <v>591</v>
      </c>
      <c r="B170" s="65" t="s">
        <v>590</v>
      </c>
      <c r="C170" s="62">
        <v>2010</v>
      </c>
      <c r="D170" s="1">
        <f>Q170+G170+F170+H170+E170</f>
        <v>6</v>
      </c>
      <c r="E170" s="177"/>
      <c r="F170" s="50"/>
      <c r="G170" s="50">
        <f>3</f>
        <v>3</v>
      </c>
      <c r="H170" s="120"/>
      <c r="I170" s="22"/>
      <c r="J170" s="50"/>
      <c r="K170" s="50"/>
      <c r="L170" s="50"/>
      <c r="M170" s="50">
        <f>3</f>
        <v>3</v>
      </c>
      <c r="N170" s="50"/>
      <c r="O170" s="120"/>
      <c r="P170" s="96">
        <f>SUM(J170:N170)</f>
        <v>3</v>
      </c>
      <c r="Q170" s="97">
        <f>IF(C170=2011, P170/3,P170)+O170</f>
        <v>3</v>
      </c>
      <c r="R170" s="22"/>
      <c r="Z170" s="95"/>
      <c r="AA170" s="96"/>
      <c r="AB170" s="97"/>
    </row>
    <row r="171" spans="1:28" x14ac:dyDescent="0.25">
      <c r="A171" s="60" t="s">
        <v>502</v>
      </c>
      <c r="B171" s="65" t="s">
        <v>233</v>
      </c>
      <c r="C171" s="62">
        <v>2009</v>
      </c>
      <c r="D171" s="1">
        <f>Q171+G171+F171+H171+E171</f>
        <v>45</v>
      </c>
      <c r="E171" s="177"/>
      <c r="F171" s="50"/>
      <c r="G171" s="50"/>
      <c r="H171" s="120"/>
      <c r="I171" s="22"/>
      <c r="J171" s="50">
        <f>16</f>
        <v>16</v>
      </c>
      <c r="K171" s="50">
        <f>20</f>
        <v>20</v>
      </c>
      <c r="L171" s="50"/>
      <c r="M171" s="50"/>
      <c r="N171" s="50">
        <f>AB171</f>
        <v>9</v>
      </c>
      <c r="O171" s="120"/>
      <c r="P171" s="96">
        <f>SUM(J171:N171)</f>
        <v>45</v>
      </c>
      <c r="Q171" s="97">
        <f>IF(C171=2011, P171/3,P171)+O171</f>
        <v>45</v>
      </c>
      <c r="R171" s="22"/>
      <c r="X171" s="13">
        <f>9</f>
        <v>9</v>
      </c>
      <c r="Z171" s="95"/>
      <c r="AA171" s="96">
        <f>SUM(S171:Y171)</f>
        <v>9</v>
      </c>
      <c r="AB171" s="97">
        <f>IF(C171=2010, AA171/3,AA171)+Z171</f>
        <v>9</v>
      </c>
    </row>
    <row r="172" spans="1:28" x14ac:dyDescent="0.25">
      <c r="A172" s="60" t="s">
        <v>677</v>
      </c>
      <c r="B172" s="65" t="s">
        <v>482</v>
      </c>
      <c r="C172" s="62"/>
      <c r="D172" s="1">
        <f>Q172+G172+F172+H172+E172</f>
        <v>4</v>
      </c>
      <c r="E172" s="177"/>
      <c r="F172" s="50"/>
      <c r="G172" s="50"/>
      <c r="H172" s="120"/>
      <c r="I172" s="22"/>
      <c r="J172" s="50"/>
      <c r="K172" s="50"/>
      <c r="L172" s="50">
        <f>4</f>
        <v>4</v>
      </c>
      <c r="M172" s="50"/>
      <c r="N172" s="50"/>
      <c r="O172" s="120"/>
      <c r="P172" s="96">
        <f>SUM(J172:N172)</f>
        <v>4</v>
      </c>
      <c r="Q172" s="97">
        <f>IF(C172=2011, P172/3,P172)+O172</f>
        <v>4</v>
      </c>
      <c r="R172" s="22"/>
      <c r="Z172" s="95"/>
      <c r="AA172" s="96"/>
      <c r="AB172" s="97"/>
    </row>
    <row r="173" spans="1:28" x14ac:dyDescent="0.25">
      <c r="A173" s="60" t="s">
        <v>176</v>
      </c>
      <c r="B173" s="65" t="s">
        <v>87</v>
      </c>
      <c r="C173" s="62">
        <v>2008</v>
      </c>
      <c r="D173" s="1">
        <f>Q173+G173+F173+H173+E173</f>
        <v>93</v>
      </c>
      <c r="E173" s="177"/>
      <c r="F173" s="50">
        <f>3+6</f>
        <v>9</v>
      </c>
      <c r="G173" s="50"/>
      <c r="H173" s="120"/>
      <c r="I173" s="22"/>
      <c r="J173" s="50"/>
      <c r="K173" s="50"/>
      <c r="L173" s="50"/>
      <c r="M173" s="50"/>
      <c r="N173" s="50">
        <f>AB173</f>
        <v>84</v>
      </c>
      <c r="O173" s="120"/>
      <c r="P173" s="96">
        <f>SUM(J173:N173)</f>
        <v>84</v>
      </c>
      <c r="Q173" s="97">
        <f>IF(C173=2011, P173/3,P173)+O173</f>
        <v>84</v>
      </c>
      <c r="R173" s="22"/>
      <c r="T173" s="13">
        <f>42+9</f>
        <v>51</v>
      </c>
      <c r="V173" s="13">
        <f>24+9</f>
        <v>33</v>
      </c>
      <c r="Z173" s="95"/>
      <c r="AA173" s="96">
        <f>SUM(S173:Y173)</f>
        <v>84</v>
      </c>
      <c r="AB173" s="97">
        <f>IF(C173=2010, AA173/3,AA173)+Z173</f>
        <v>84</v>
      </c>
    </row>
    <row r="174" spans="1:28" x14ac:dyDescent="0.25">
      <c r="A174" s="11" t="s">
        <v>306</v>
      </c>
      <c r="B174" s="11" t="s">
        <v>6</v>
      </c>
      <c r="C174" s="3">
        <v>2010</v>
      </c>
      <c r="D174" s="1">
        <f>Q174+G174+F174+H174+E174</f>
        <v>164</v>
      </c>
      <c r="E174" s="177"/>
      <c r="F174" s="50"/>
      <c r="G174" s="50"/>
      <c r="H174" s="120"/>
      <c r="I174" s="22"/>
      <c r="J174" s="50"/>
      <c r="K174" s="50">
        <f>0</f>
        <v>0</v>
      </c>
      <c r="L174" s="50">
        <f>43</f>
        <v>43</v>
      </c>
      <c r="M174" s="50">
        <f>29+12</f>
        <v>41</v>
      </c>
      <c r="N174" s="50">
        <f>AB174</f>
        <v>74</v>
      </c>
      <c r="O174" s="120">
        <f>6</f>
        <v>6</v>
      </c>
      <c r="P174" s="96">
        <f>SUM(J174:N174)</f>
        <v>158</v>
      </c>
      <c r="Q174" s="97">
        <f>IF(C174=2011, P174/3,P174)+O174</f>
        <v>164</v>
      </c>
      <c r="R174" s="22"/>
      <c r="S174" s="182"/>
      <c r="T174" s="182"/>
      <c r="U174" s="182"/>
      <c r="V174" s="182">
        <f>36+9</f>
        <v>45</v>
      </c>
      <c r="W174" s="182">
        <f>51</f>
        <v>51</v>
      </c>
      <c r="X174" s="182">
        <f>51+39</f>
        <v>90</v>
      </c>
      <c r="Y174" s="36"/>
      <c r="Z174" s="95">
        <f>12</f>
        <v>12</v>
      </c>
      <c r="AA174" s="96">
        <f>SUM(S174:Y174)</f>
        <v>186</v>
      </c>
      <c r="AB174" s="97">
        <f>IF(C174=2010, AA174/3,AA174)+Z174</f>
        <v>74</v>
      </c>
    </row>
    <row r="175" spans="1:28" x14ac:dyDescent="0.25">
      <c r="A175" s="60" t="s">
        <v>356</v>
      </c>
      <c r="B175" s="65" t="s">
        <v>87</v>
      </c>
      <c r="C175" s="62">
        <v>2009</v>
      </c>
      <c r="D175" s="1">
        <f>Q175+G175+F175+H175+E175</f>
        <v>0</v>
      </c>
      <c r="E175" s="177"/>
      <c r="F175" s="50"/>
      <c r="G175" s="50"/>
      <c r="H175" s="120"/>
      <c r="I175" s="22"/>
      <c r="J175" s="50"/>
      <c r="K175" s="50"/>
      <c r="L175" s="50"/>
      <c r="M175" s="50"/>
      <c r="N175" s="50">
        <f>AB175</f>
        <v>0</v>
      </c>
      <c r="O175" s="120"/>
      <c r="P175" s="96">
        <f>SUM(J175:N175)</f>
        <v>0</v>
      </c>
      <c r="Q175" s="97">
        <f>IF(C175=2011, P175/3,P175)+O175</f>
        <v>0</v>
      </c>
      <c r="R175" s="22"/>
      <c r="V175" s="13">
        <f>0</f>
        <v>0</v>
      </c>
      <c r="Z175" s="95"/>
      <c r="AA175" s="96">
        <f>SUM(S175:Y175)</f>
        <v>0</v>
      </c>
      <c r="AB175" s="97">
        <f>IF(C175=2010, AA175/3,AA175)+Z175</f>
        <v>0</v>
      </c>
    </row>
    <row r="176" spans="1:28" x14ac:dyDescent="0.25">
      <c r="A176" s="11" t="s">
        <v>569</v>
      </c>
      <c r="B176" s="60" t="s">
        <v>570</v>
      </c>
      <c r="C176" s="62">
        <v>2011</v>
      </c>
      <c r="D176" s="1">
        <f>Q176+G176+F176+H176+E176</f>
        <v>14</v>
      </c>
      <c r="E176" s="177"/>
      <c r="F176" s="50"/>
      <c r="G176" s="50"/>
      <c r="H176" s="120"/>
      <c r="I176" s="50"/>
      <c r="J176" s="50"/>
      <c r="K176" s="50"/>
      <c r="L176" s="50"/>
      <c r="M176" s="50">
        <f>32+10</f>
        <v>42</v>
      </c>
      <c r="N176" s="50"/>
      <c r="O176" s="120"/>
      <c r="P176" s="96">
        <f>SUM(J176:N176)</f>
        <v>42</v>
      </c>
      <c r="Q176" s="97">
        <f>IF(C176=2011, P176/3,P176)+O176</f>
        <v>14</v>
      </c>
      <c r="R176" s="22"/>
      <c r="S176" s="41"/>
      <c r="T176" s="41"/>
      <c r="U176" s="41"/>
      <c r="V176" s="41"/>
      <c r="W176" s="41"/>
      <c r="X176" s="41"/>
      <c r="Z176" s="95"/>
      <c r="AA176" s="96"/>
      <c r="AB176" s="97"/>
    </row>
    <row r="177" spans="1:28" x14ac:dyDescent="0.25">
      <c r="A177" s="11" t="s">
        <v>473</v>
      </c>
      <c r="B177" s="60" t="s">
        <v>233</v>
      </c>
      <c r="C177" s="62">
        <v>2010</v>
      </c>
      <c r="D177" s="1">
        <f>Q177+G177+F177+H177+E177</f>
        <v>15</v>
      </c>
      <c r="E177" s="177"/>
      <c r="F177" s="50"/>
      <c r="G177" s="50"/>
      <c r="H177" s="120"/>
      <c r="I177" s="22"/>
      <c r="J177" s="50"/>
      <c r="K177" s="50"/>
      <c r="L177" s="50"/>
      <c r="M177" s="50"/>
      <c r="N177" s="50">
        <f>AB177</f>
        <v>15</v>
      </c>
      <c r="O177" s="120"/>
      <c r="P177" s="96">
        <f>SUM(J177:N177)</f>
        <v>15</v>
      </c>
      <c r="Q177" s="97">
        <f>IF(C177=2011, P177/3,P177)+O177</f>
        <v>15</v>
      </c>
      <c r="R177" s="22"/>
      <c r="S177" s="41"/>
      <c r="T177" s="41"/>
      <c r="U177" s="41"/>
      <c r="V177" s="41"/>
      <c r="W177" s="41"/>
      <c r="X177" s="41">
        <f>45</f>
        <v>45</v>
      </c>
      <c r="Z177" s="95"/>
      <c r="AA177" s="96">
        <f>SUM(S177:Y177)</f>
        <v>45</v>
      </c>
      <c r="AB177" s="97">
        <f>IF(C177=2010, AA177/3,AA177)+Z177</f>
        <v>15</v>
      </c>
    </row>
    <row r="178" spans="1:28" x14ac:dyDescent="0.25">
      <c r="A178" s="60" t="s">
        <v>172</v>
      </c>
      <c r="B178" s="65" t="s">
        <v>88</v>
      </c>
      <c r="C178" s="62">
        <v>2008</v>
      </c>
      <c r="D178" s="1">
        <f>Q178+G178+F178+H178+E178</f>
        <v>72</v>
      </c>
      <c r="E178" s="177"/>
      <c r="F178" s="50"/>
      <c r="G178" s="50"/>
      <c r="H178" s="120"/>
      <c r="I178" s="22"/>
      <c r="J178" s="50"/>
      <c r="K178" s="50"/>
      <c r="L178" s="50"/>
      <c r="M178" s="50"/>
      <c r="N178" s="50">
        <f>AB178</f>
        <v>72</v>
      </c>
      <c r="O178" s="120"/>
      <c r="P178" s="96">
        <f>SUM(J178:N178)</f>
        <v>72</v>
      </c>
      <c r="Q178" s="97">
        <f>IF(C178=2011, P178/3,P178)+O178</f>
        <v>72</v>
      </c>
      <c r="R178" s="22"/>
      <c r="T178" s="13">
        <f>57+15</f>
        <v>72</v>
      </c>
      <c r="Z178" s="95"/>
      <c r="AA178" s="96">
        <f>SUM(S178:Y178)</f>
        <v>72</v>
      </c>
      <c r="AB178" s="97">
        <f>IF(C178=2010, AA178/3,AA178)+Z178</f>
        <v>72</v>
      </c>
    </row>
    <row r="179" spans="1:28" x14ac:dyDescent="0.25">
      <c r="A179" s="11" t="s">
        <v>387</v>
      </c>
      <c r="B179" s="60" t="s">
        <v>383</v>
      </c>
      <c r="C179" s="62">
        <v>2010</v>
      </c>
      <c r="D179" s="1">
        <f>Q179+G179+F179+H179+E179</f>
        <v>1</v>
      </c>
      <c r="E179" s="177"/>
      <c r="F179" s="50"/>
      <c r="G179" s="50"/>
      <c r="H179" s="120"/>
      <c r="I179" s="22"/>
      <c r="J179" s="50"/>
      <c r="K179" s="50"/>
      <c r="L179" s="50"/>
      <c r="M179" s="50"/>
      <c r="N179" s="50">
        <f>AB179</f>
        <v>1</v>
      </c>
      <c r="O179" s="120"/>
      <c r="P179" s="96">
        <f>SUM(J179:N179)</f>
        <v>1</v>
      </c>
      <c r="Q179" s="97">
        <f>IF(C179=2011, P179/3,P179)+O179</f>
        <v>1</v>
      </c>
      <c r="R179" s="22"/>
      <c r="S179" s="41"/>
      <c r="T179" s="41"/>
      <c r="U179" s="41"/>
      <c r="V179" s="41">
        <f>3</f>
        <v>3</v>
      </c>
      <c r="W179" s="41"/>
      <c r="X179" s="41"/>
      <c r="Z179" s="95"/>
      <c r="AA179" s="96">
        <f>SUM(S179:Y179)</f>
        <v>3</v>
      </c>
      <c r="AB179" s="97">
        <f>IF(C179=2010, AA179/3,AA179)+Z179</f>
        <v>1</v>
      </c>
    </row>
    <row r="180" spans="1:28" x14ac:dyDescent="0.25">
      <c r="A180" s="60" t="s">
        <v>195</v>
      </c>
      <c r="B180" s="65" t="s">
        <v>88</v>
      </c>
      <c r="C180" s="62"/>
      <c r="D180" s="1">
        <f>Q180+G180+F180+H180+E180</f>
        <v>42</v>
      </c>
      <c r="E180" s="177"/>
      <c r="F180" s="50"/>
      <c r="G180" s="50"/>
      <c r="H180" s="120"/>
      <c r="I180" s="22"/>
      <c r="J180" s="50"/>
      <c r="K180" s="50"/>
      <c r="L180" s="50"/>
      <c r="M180" s="50"/>
      <c r="N180" s="50">
        <f>AB180</f>
        <v>42</v>
      </c>
      <c r="O180" s="120"/>
      <c r="P180" s="96">
        <f>SUM(J180:N180)</f>
        <v>42</v>
      </c>
      <c r="Q180" s="97">
        <f>IF(C180=2011, P180/3,P180)+O180</f>
        <v>42</v>
      </c>
      <c r="R180" s="22"/>
      <c r="T180" s="13">
        <f>24+18</f>
        <v>42</v>
      </c>
      <c r="Z180" s="95"/>
      <c r="AA180" s="96">
        <f>SUM(S180:Y180)</f>
        <v>42</v>
      </c>
      <c r="AB180" s="97">
        <f>IF(C180=2010, AA180/3,AA180)+Z180</f>
        <v>42</v>
      </c>
    </row>
    <row r="181" spans="1:28" x14ac:dyDescent="0.25">
      <c r="A181" s="11" t="s">
        <v>593</v>
      </c>
      <c r="B181" s="60" t="s">
        <v>590</v>
      </c>
      <c r="C181" s="62">
        <v>2011</v>
      </c>
      <c r="D181" s="1">
        <f>Q181+G181+F181+H181+E181</f>
        <v>6</v>
      </c>
      <c r="E181" s="177"/>
      <c r="F181" s="50"/>
      <c r="G181" s="50">
        <f>3</f>
        <v>3</v>
      </c>
      <c r="H181" s="120"/>
      <c r="I181" s="182"/>
      <c r="J181" s="50"/>
      <c r="K181" s="50"/>
      <c r="L181" s="50"/>
      <c r="M181" s="50">
        <f>0</f>
        <v>0</v>
      </c>
      <c r="N181" s="50"/>
      <c r="O181" s="120">
        <f>3</f>
        <v>3</v>
      </c>
      <c r="P181" s="96">
        <f>SUM(J181:N181)</f>
        <v>0</v>
      </c>
      <c r="Q181" s="97">
        <f>IF(C181=2011, P181/3,P181)+O181</f>
        <v>3</v>
      </c>
      <c r="R181" s="22"/>
      <c r="S181" s="41"/>
      <c r="T181" s="41"/>
      <c r="U181" s="41"/>
      <c r="V181" s="41"/>
      <c r="W181" s="41"/>
      <c r="X181" s="41"/>
      <c r="Z181" s="95"/>
      <c r="AA181" s="96"/>
      <c r="AB181" s="97"/>
    </row>
    <row r="182" spans="1:28" x14ac:dyDescent="0.25">
      <c r="A182" s="60" t="s">
        <v>382</v>
      </c>
      <c r="B182" s="65" t="s">
        <v>383</v>
      </c>
      <c r="C182" s="62">
        <v>2009</v>
      </c>
      <c r="D182" s="1">
        <f>Q182+G182+F182+H182+E182</f>
        <v>2</v>
      </c>
      <c r="E182" s="177"/>
      <c r="F182" s="50"/>
      <c r="G182" s="50"/>
      <c r="H182" s="120"/>
      <c r="I182" s="22"/>
      <c r="J182" s="50"/>
      <c r="K182" s="50"/>
      <c r="L182" s="50"/>
      <c r="M182" s="50"/>
      <c r="N182" s="50">
        <f>AB182</f>
        <v>2</v>
      </c>
      <c r="O182" s="120"/>
      <c r="P182" s="96">
        <f>SUM(J182:N182)</f>
        <v>2</v>
      </c>
      <c r="Q182" s="97">
        <f>IF(C182=2011, P182/3,P182)+O182</f>
        <v>2</v>
      </c>
      <c r="R182" s="22"/>
      <c r="V182" s="13">
        <f>2</f>
        <v>2</v>
      </c>
      <c r="Z182" s="95"/>
      <c r="AA182" s="96">
        <f>SUM(S182:Y182)</f>
        <v>2</v>
      </c>
      <c r="AB182" s="97">
        <f>IF(C182=2010, AA182/3,AA182)+Z182</f>
        <v>2</v>
      </c>
    </row>
    <row r="183" spans="1:28" x14ac:dyDescent="0.25">
      <c r="A183" s="11" t="s">
        <v>313</v>
      </c>
      <c r="B183" s="60" t="s">
        <v>6</v>
      </c>
      <c r="C183" s="62">
        <v>2011</v>
      </c>
      <c r="D183" s="1">
        <f>Q183+G183+F183+H183+E183</f>
        <v>44</v>
      </c>
      <c r="E183" s="177"/>
      <c r="F183" s="50"/>
      <c r="G183" s="50"/>
      <c r="H183" s="120"/>
      <c r="I183" s="182"/>
      <c r="J183" s="50"/>
      <c r="K183" s="50"/>
      <c r="L183" s="50">
        <f>32</f>
        <v>32</v>
      </c>
      <c r="M183" s="50">
        <f>16+36</f>
        <v>52</v>
      </c>
      <c r="N183" s="50">
        <f>AB183</f>
        <v>48</v>
      </c>
      <c r="O183" s="120"/>
      <c r="P183" s="96">
        <f>SUM(J183:N183)</f>
        <v>132</v>
      </c>
      <c r="Q183" s="97">
        <f>IF(C183=2011, P183/3,P183)+O183</f>
        <v>44</v>
      </c>
      <c r="R183" s="22"/>
      <c r="S183" s="41"/>
      <c r="T183" s="41"/>
      <c r="U183" s="41"/>
      <c r="V183" s="41">
        <f>18</f>
        <v>18</v>
      </c>
      <c r="W183" s="41">
        <f>29</f>
        <v>29</v>
      </c>
      <c r="X183" s="41"/>
      <c r="Y183" s="13">
        <f>1</f>
        <v>1</v>
      </c>
      <c r="Z183" s="95"/>
      <c r="AA183" s="96">
        <f>SUM(S183:Y183)</f>
        <v>48</v>
      </c>
      <c r="AB183" s="97">
        <f>IF(C183=2015, AA183/3,AA183)+Z183</f>
        <v>48</v>
      </c>
    </row>
    <row r="184" spans="1:28" x14ac:dyDescent="0.25">
      <c r="A184" s="60" t="s">
        <v>656</v>
      </c>
      <c r="B184" s="65" t="s">
        <v>63</v>
      </c>
      <c r="C184" s="62">
        <v>2009</v>
      </c>
      <c r="D184" s="1">
        <f>Q184+G184+F184+H184+E184</f>
        <v>21</v>
      </c>
      <c r="E184" s="177">
        <f>0+6</f>
        <v>6</v>
      </c>
      <c r="F184" s="50">
        <f>0+6</f>
        <v>6</v>
      </c>
      <c r="G184" s="50">
        <f>0+9</f>
        <v>9</v>
      </c>
      <c r="H184" s="120"/>
      <c r="I184" s="22"/>
      <c r="J184" s="50">
        <f>0</f>
        <v>0</v>
      </c>
      <c r="K184" s="50">
        <f>0</f>
        <v>0</v>
      </c>
      <c r="L184" s="50">
        <f>0</f>
        <v>0</v>
      </c>
      <c r="M184" s="50"/>
      <c r="N184" s="50"/>
      <c r="O184" s="120"/>
      <c r="P184" s="96">
        <f>SUM(J184:N184)</f>
        <v>0</v>
      </c>
      <c r="Q184" s="97">
        <f>IF(C184=2011, P184/3,P184)+O184</f>
        <v>0</v>
      </c>
      <c r="R184" s="22"/>
      <c r="Z184" s="95"/>
      <c r="AA184" s="96"/>
      <c r="AB184" s="97"/>
    </row>
    <row r="185" spans="1:28" x14ac:dyDescent="0.25">
      <c r="A185" s="60" t="s">
        <v>444</v>
      </c>
      <c r="B185" s="65" t="s">
        <v>112</v>
      </c>
      <c r="C185" s="62">
        <v>2009</v>
      </c>
      <c r="D185" s="1">
        <f>Q185+G185+F185+H185+E185</f>
        <v>0</v>
      </c>
      <c r="E185" s="177"/>
      <c r="F185" s="50"/>
      <c r="G185" s="50"/>
      <c r="H185" s="120"/>
      <c r="I185" s="22"/>
      <c r="J185" s="50">
        <f>0</f>
        <v>0</v>
      </c>
      <c r="K185" s="50">
        <f>0</f>
        <v>0</v>
      </c>
      <c r="L185" s="50">
        <f>0</f>
        <v>0</v>
      </c>
      <c r="M185" s="50"/>
      <c r="N185" s="50">
        <f>AB185</f>
        <v>0</v>
      </c>
      <c r="O185" s="120"/>
      <c r="P185" s="96">
        <f>SUM(J185:N185)</f>
        <v>0</v>
      </c>
      <c r="Q185" s="97">
        <f>IF(C185=2011, P185/3,P185)+O185</f>
        <v>0</v>
      </c>
      <c r="R185" s="22"/>
      <c r="W185" s="13">
        <f>0</f>
        <v>0</v>
      </c>
      <c r="Z185" s="95"/>
      <c r="AA185" s="96">
        <f>SUM(S185:Y185)</f>
        <v>0</v>
      </c>
      <c r="AB185" s="97">
        <f>IF(C185=2010, AA185/3,AA185)+Z185</f>
        <v>0</v>
      </c>
    </row>
    <row r="186" spans="1:28" x14ac:dyDescent="0.25">
      <c r="A186" s="61" t="s">
        <v>152</v>
      </c>
      <c r="B186" s="85" t="s">
        <v>64</v>
      </c>
      <c r="C186" s="63">
        <v>2008</v>
      </c>
      <c r="D186" s="1">
        <f>Q186+G186+F186+H186+E186</f>
        <v>4</v>
      </c>
      <c r="E186" s="177"/>
      <c r="F186" s="50"/>
      <c r="G186" s="50"/>
      <c r="H186" s="120"/>
      <c r="I186" s="22"/>
      <c r="J186" s="50"/>
      <c r="K186" s="50"/>
      <c r="L186" s="50"/>
      <c r="M186" s="50"/>
      <c r="N186" s="50">
        <f>AB186</f>
        <v>4</v>
      </c>
      <c r="O186" s="120"/>
      <c r="P186" s="96">
        <f>SUM(J186:N186)</f>
        <v>4</v>
      </c>
      <c r="Q186" s="97">
        <f>IF(C186=2011, P186/3,P186)+O186</f>
        <v>4</v>
      </c>
      <c r="R186" s="22"/>
      <c r="T186" s="13">
        <v>4</v>
      </c>
      <c r="Z186" s="95"/>
      <c r="AA186" s="96">
        <f>SUM(S186:Y186)</f>
        <v>4</v>
      </c>
      <c r="AB186" s="97">
        <f>IF(C186=2010, AA186/3,AA186)+Z186</f>
        <v>4</v>
      </c>
    </row>
    <row r="187" spans="1:28" ht="16.5" customHeight="1" x14ac:dyDescent="0.25">
      <c r="A187" s="60" t="s">
        <v>649</v>
      </c>
      <c r="B187" s="65" t="s">
        <v>233</v>
      </c>
      <c r="C187" s="62"/>
      <c r="D187" s="1">
        <f>Q187+G187+F187+H187+E187</f>
        <v>35</v>
      </c>
      <c r="E187" s="177"/>
      <c r="F187" s="50"/>
      <c r="G187" s="50"/>
      <c r="H187" s="120"/>
      <c r="I187" s="22"/>
      <c r="J187" s="50">
        <f>13</f>
        <v>13</v>
      </c>
      <c r="K187" s="50"/>
      <c r="L187" s="50">
        <f>22</f>
        <v>22</v>
      </c>
      <c r="M187" s="50"/>
      <c r="N187" s="50"/>
      <c r="O187" s="120"/>
      <c r="P187" s="96">
        <f>SUM(J187:N187)</f>
        <v>35</v>
      </c>
      <c r="Q187" s="97">
        <f>IF(C187=2011, P187/3,P187)+O187</f>
        <v>35</v>
      </c>
      <c r="R187" s="22"/>
      <c r="Z187" s="95"/>
      <c r="AA187" s="96"/>
      <c r="AB187" s="97"/>
    </row>
    <row r="188" spans="1:28" x14ac:dyDescent="0.25">
      <c r="A188" s="60" t="s">
        <v>361</v>
      </c>
      <c r="B188" s="65" t="s">
        <v>0</v>
      </c>
      <c r="C188" s="62">
        <v>2008</v>
      </c>
      <c r="D188" s="1">
        <f>Q188+G188+F188+H188+E188</f>
        <v>234</v>
      </c>
      <c r="E188" s="177"/>
      <c r="F188" s="50">
        <f>6</f>
        <v>6</v>
      </c>
      <c r="G188" s="50">
        <f>3</f>
        <v>3</v>
      </c>
      <c r="H188" s="120">
        <f>3</f>
        <v>3</v>
      </c>
      <c r="I188" s="22"/>
      <c r="J188" s="50"/>
      <c r="K188" s="50"/>
      <c r="L188" s="50"/>
      <c r="M188" s="50"/>
      <c r="N188" s="50">
        <f>AB188</f>
        <v>222</v>
      </c>
      <c r="O188" s="120"/>
      <c r="P188" s="96">
        <f>SUM(J188:N188)</f>
        <v>222</v>
      </c>
      <c r="Q188" s="97">
        <f>IF(C188=2011, P188/3,P188)+O188</f>
        <v>222</v>
      </c>
      <c r="R188" s="22"/>
      <c r="V188" s="13">
        <f>24</f>
        <v>24</v>
      </c>
      <c r="Y188" s="13">
        <v>198</v>
      </c>
      <c r="Z188" s="95"/>
      <c r="AA188" s="96">
        <f>SUM(S188:Y188)</f>
        <v>222</v>
      </c>
      <c r="AB188" s="97">
        <f>IF(C188=2010, AA188/3,AA188)+Z188</f>
        <v>222</v>
      </c>
    </row>
    <row r="189" spans="1:28" x14ac:dyDescent="0.25">
      <c r="A189" s="60" t="s">
        <v>664</v>
      </c>
      <c r="B189" s="85" t="s">
        <v>7</v>
      </c>
      <c r="C189" s="62">
        <v>2008</v>
      </c>
      <c r="D189" s="1">
        <f>Q189+G189+F189+H189+E189</f>
        <v>299</v>
      </c>
      <c r="E189" s="177"/>
      <c r="F189" s="50"/>
      <c r="G189" s="50"/>
      <c r="H189" s="120"/>
      <c r="I189" s="22"/>
      <c r="J189" s="50"/>
      <c r="K189" s="50"/>
      <c r="L189" s="50">
        <f>195</f>
        <v>195</v>
      </c>
      <c r="M189" s="50"/>
      <c r="N189" s="50">
        <v>104</v>
      </c>
      <c r="O189" s="120"/>
      <c r="P189" s="96">
        <f>SUM(J189:N189)</f>
        <v>299</v>
      </c>
      <c r="Q189" s="97">
        <f>IF(C189=2011, P189/3,P189)+O189</f>
        <v>299</v>
      </c>
      <c r="R189" s="22"/>
      <c r="Z189" s="95"/>
      <c r="AA189" s="96"/>
      <c r="AB189" s="97"/>
    </row>
    <row r="190" spans="1:28" x14ac:dyDescent="0.25">
      <c r="A190" s="11" t="s">
        <v>339</v>
      </c>
      <c r="B190" s="60" t="s">
        <v>6</v>
      </c>
      <c r="C190" s="62">
        <v>2011</v>
      </c>
      <c r="D190" s="1">
        <f>Q190+G190+F190+H190+E190</f>
        <v>52.666666666666664</v>
      </c>
      <c r="E190" s="177">
        <f>0</f>
        <v>0</v>
      </c>
      <c r="F190" s="50"/>
      <c r="G190" s="50"/>
      <c r="H190" s="120"/>
      <c r="I190" s="182"/>
      <c r="J190" s="50"/>
      <c r="K190" s="153"/>
      <c r="L190" s="50"/>
      <c r="M190" s="50"/>
      <c r="N190" s="50">
        <f>AB190</f>
        <v>158</v>
      </c>
      <c r="O190" s="120"/>
      <c r="P190" s="96">
        <f>SUM(J190:N190)</f>
        <v>158</v>
      </c>
      <c r="Q190" s="97">
        <f>IF(C190=2011, P190/3,P190)+O190</f>
        <v>52.666666666666664</v>
      </c>
      <c r="R190" s="22"/>
      <c r="S190" s="50"/>
      <c r="T190" s="50"/>
      <c r="U190" s="50"/>
      <c r="V190" s="50">
        <f>18</f>
        <v>18</v>
      </c>
      <c r="W190" s="50">
        <f>0</f>
        <v>0</v>
      </c>
      <c r="X190" s="50">
        <f>0</f>
        <v>0</v>
      </c>
      <c r="Y190" s="36">
        <f>140</f>
        <v>140</v>
      </c>
      <c r="Z190" s="95"/>
      <c r="AA190" s="96">
        <f>SUM(S190:Y190)</f>
        <v>158</v>
      </c>
      <c r="AB190" s="97">
        <f>IF(C190=2015, AA190/3,AA190)+Z190</f>
        <v>158</v>
      </c>
    </row>
    <row r="191" spans="1:28" x14ac:dyDescent="0.25">
      <c r="A191" s="60" t="s">
        <v>158</v>
      </c>
      <c r="B191" s="65" t="s">
        <v>112</v>
      </c>
      <c r="C191" s="62">
        <v>2009</v>
      </c>
      <c r="D191" s="1">
        <f>Q191+G191+F191+H191+E191</f>
        <v>4</v>
      </c>
      <c r="E191" s="177"/>
      <c r="F191" s="50"/>
      <c r="G191" s="50"/>
      <c r="H191" s="120"/>
      <c r="I191" s="22"/>
      <c r="J191" s="50"/>
      <c r="K191" s="50"/>
      <c r="L191" s="50"/>
      <c r="M191" s="50"/>
      <c r="N191" s="50">
        <f>AB191</f>
        <v>4</v>
      </c>
      <c r="O191" s="120"/>
      <c r="P191" s="96">
        <f>SUM(J191:N191)</f>
        <v>4</v>
      </c>
      <c r="Q191" s="97">
        <f>IF(C191=2011, P191/3,P191)+O191</f>
        <v>4</v>
      </c>
      <c r="R191" s="22"/>
      <c r="T191" s="13">
        <v>4</v>
      </c>
      <c r="W191" s="13">
        <f>0</f>
        <v>0</v>
      </c>
      <c r="Z191" s="95"/>
      <c r="AA191" s="96">
        <f>SUM(S191:Y191)</f>
        <v>4</v>
      </c>
      <c r="AB191" s="97">
        <f>IF(C191=2010, AA191/3,AA191)+Z191</f>
        <v>4</v>
      </c>
    </row>
    <row r="192" spans="1:28" x14ac:dyDescent="0.25">
      <c r="A192" s="60" t="s">
        <v>705</v>
      </c>
      <c r="B192" s="65" t="s">
        <v>63</v>
      </c>
      <c r="C192" s="62">
        <v>2010</v>
      </c>
      <c r="D192" s="1">
        <f>Q192+G192+F192+H192+E192</f>
        <v>123</v>
      </c>
      <c r="E192" s="177">
        <f>16+6</f>
        <v>22</v>
      </c>
      <c r="F192" s="50">
        <f>38+6</f>
        <v>44</v>
      </c>
      <c r="G192" s="50">
        <f>0+9</f>
        <v>9</v>
      </c>
      <c r="H192" s="120"/>
      <c r="I192" s="22"/>
      <c r="J192" s="50">
        <f>24+2</f>
        <v>26</v>
      </c>
      <c r="K192" s="50">
        <f>16+6</f>
        <v>22</v>
      </c>
      <c r="L192" s="50"/>
      <c r="M192" s="50"/>
      <c r="N192" s="50"/>
      <c r="O192" s="120"/>
      <c r="P192" s="96">
        <f>SUM(J192:N192)</f>
        <v>48</v>
      </c>
      <c r="Q192" s="97">
        <f>IF(C192=2011, P192/3,P192)+O192</f>
        <v>48</v>
      </c>
      <c r="R192" s="22"/>
      <c r="Z192" s="95"/>
      <c r="AA192" s="96"/>
      <c r="AB192" s="97"/>
    </row>
    <row r="193" spans="1:47" x14ac:dyDescent="0.25">
      <c r="A193" s="60" t="s">
        <v>581</v>
      </c>
      <c r="B193" s="65" t="s">
        <v>63</v>
      </c>
      <c r="C193" s="62">
        <v>2009</v>
      </c>
      <c r="D193" s="1">
        <f>Q193+G193+F193+H193+E193</f>
        <v>57</v>
      </c>
      <c r="E193" s="177">
        <f>0+6</f>
        <v>6</v>
      </c>
      <c r="F193" s="50">
        <f>0+6</f>
        <v>6</v>
      </c>
      <c r="G193" s="50">
        <f>0+9</f>
        <v>9</v>
      </c>
      <c r="H193" s="120"/>
      <c r="I193" s="22"/>
      <c r="J193" s="50">
        <f>14</f>
        <v>14</v>
      </c>
      <c r="K193" s="50">
        <f>17+3</f>
        <v>20</v>
      </c>
      <c r="L193" s="50">
        <f>0+2</f>
        <v>2</v>
      </c>
      <c r="M193" s="50">
        <f>0</f>
        <v>0</v>
      </c>
      <c r="N193" s="50"/>
      <c r="O193" s="120"/>
      <c r="P193" s="96">
        <f>SUM(J193:N193)</f>
        <v>36</v>
      </c>
      <c r="Q193" s="97">
        <f>IF(C193=2011, P193/3,P193)+O193</f>
        <v>36</v>
      </c>
      <c r="R193" s="22"/>
      <c r="Z193" s="95"/>
      <c r="AA193" s="96"/>
      <c r="AB193" s="97"/>
    </row>
    <row r="194" spans="1:47" x14ac:dyDescent="0.25">
      <c r="A194" s="11" t="s">
        <v>119</v>
      </c>
      <c r="B194" s="60" t="s">
        <v>112</v>
      </c>
      <c r="C194" s="62">
        <v>2010</v>
      </c>
      <c r="D194" s="1">
        <f>Q194+G194+F194+H194+E194</f>
        <v>178.33333333333331</v>
      </c>
      <c r="E194" s="177"/>
      <c r="F194" s="50"/>
      <c r="G194" s="50"/>
      <c r="H194" s="120"/>
      <c r="I194" s="22"/>
      <c r="J194" s="50"/>
      <c r="K194" s="50">
        <f>22</f>
        <v>22</v>
      </c>
      <c r="L194" s="50">
        <f>44+13</f>
        <v>57</v>
      </c>
      <c r="M194" s="50">
        <f>30</f>
        <v>30</v>
      </c>
      <c r="N194" s="50">
        <f>AB194</f>
        <v>69.333333333333329</v>
      </c>
      <c r="O194" s="120"/>
      <c r="P194" s="96">
        <f>SUM(J194:N194)</f>
        <v>178.33333333333331</v>
      </c>
      <c r="Q194" s="97">
        <f>IF(C194=2011, P194/3,P194)+O194</f>
        <v>178.33333333333331</v>
      </c>
      <c r="R194" s="22"/>
      <c r="S194" s="41"/>
      <c r="T194" s="41">
        <v>35</v>
      </c>
      <c r="U194" s="41"/>
      <c r="V194" s="41">
        <f>54+5</f>
        <v>59</v>
      </c>
      <c r="W194" s="41">
        <f>50</f>
        <v>50</v>
      </c>
      <c r="X194" s="41">
        <f>52</f>
        <v>52</v>
      </c>
      <c r="Z194" s="95">
        <f>1+3</f>
        <v>4</v>
      </c>
      <c r="AA194" s="96">
        <f>SUM(S194:Y194)</f>
        <v>196</v>
      </c>
      <c r="AB194" s="97">
        <f>IF(C194=2010, AA194/3,AA194)+Z194</f>
        <v>69.333333333333329</v>
      </c>
    </row>
    <row r="195" spans="1:47" x14ac:dyDescent="0.25">
      <c r="A195" s="51" t="s">
        <v>49</v>
      </c>
      <c r="B195" s="84" t="s">
        <v>23</v>
      </c>
      <c r="C195" s="52">
        <v>2009</v>
      </c>
      <c r="D195" s="1">
        <f>Q195+G195+F195+H195+E195</f>
        <v>204</v>
      </c>
      <c r="E195" s="177"/>
      <c r="F195" s="50"/>
      <c r="G195" s="50"/>
      <c r="H195" s="120"/>
      <c r="I195" s="22"/>
      <c r="J195" s="50"/>
      <c r="K195" s="50"/>
      <c r="L195" s="50">
        <f>28+93</f>
        <v>121</v>
      </c>
      <c r="M195" s="50"/>
      <c r="N195" s="50">
        <f>AB195</f>
        <v>83</v>
      </c>
      <c r="O195" s="120"/>
      <c r="P195" s="96">
        <f>SUM(J195:N195)</f>
        <v>204</v>
      </c>
      <c r="Q195" s="97">
        <f>IF(C195=2011, P195/3,P195)+O195</f>
        <v>204</v>
      </c>
      <c r="R195" s="22"/>
      <c r="S195" s="50">
        <f>15</f>
        <v>15</v>
      </c>
      <c r="T195" s="50"/>
      <c r="U195" s="50"/>
      <c r="V195" s="50"/>
      <c r="W195" s="50"/>
      <c r="X195" s="50"/>
      <c r="Y195" s="182">
        <v>68</v>
      </c>
      <c r="Z195" s="95"/>
      <c r="AA195" s="96">
        <f>SUM(S195:Y195)</f>
        <v>83</v>
      </c>
      <c r="AB195" s="97">
        <f>IF(C195=2010, AA195/3,AA195)+Z195</f>
        <v>83</v>
      </c>
    </row>
    <row r="196" spans="1:47" x14ac:dyDescent="0.25">
      <c r="A196" s="11" t="s">
        <v>245</v>
      </c>
      <c r="B196" s="11" t="s">
        <v>243</v>
      </c>
      <c r="C196" s="3">
        <v>2010</v>
      </c>
      <c r="D196" s="1">
        <f>Q196+G196+F196+H196+E196</f>
        <v>10.666666666666666</v>
      </c>
      <c r="E196" s="177"/>
      <c r="F196" s="50"/>
      <c r="G196" s="50"/>
      <c r="H196" s="120"/>
      <c r="I196" s="22"/>
      <c r="J196" s="50"/>
      <c r="K196" s="182"/>
      <c r="L196" s="50"/>
      <c r="M196" s="50"/>
      <c r="N196" s="50">
        <f>AB196</f>
        <v>10.666666666666666</v>
      </c>
      <c r="O196" s="120"/>
      <c r="P196" s="96">
        <f>SUM(J196:N196)</f>
        <v>10.666666666666666</v>
      </c>
      <c r="Q196" s="97">
        <f>IF(C196=2011, P196/3,P196)+O196</f>
        <v>10.666666666666666</v>
      </c>
      <c r="R196" s="22"/>
      <c r="S196" s="182"/>
      <c r="T196" s="182"/>
      <c r="U196" s="182">
        <f>18</f>
        <v>18</v>
      </c>
      <c r="V196" s="182"/>
      <c r="W196" s="182"/>
      <c r="X196" s="182"/>
      <c r="Y196" s="36">
        <f>14</f>
        <v>14</v>
      </c>
      <c r="Z196" s="95"/>
      <c r="AA196" s="96">
        <f>SUM(S196:Y196)</f>
        <v>32</v>
      </c>
      <c r="AB196" s="97">
        <f>IF(C196=2010, AA196/3,AA196)+Z196</f>
        <v>10.666666666666666</v>
      </c>
    </row>
    <row r="197" spans="1:47" x14ac:dyDescent="0.25">
      <c r="A197" s="60" t="s">
        <v>157</v>
      </c>
      <c r="B197" s="65" t="s">
        <v>112</v>
      </c>
      <c r="C197" s="62">
        <v>2009</v>
      </c>
      <c r="D197" s="1">
        <f>Q197+G197+F197+H197+E197</f>
        <v>26</v>
      </c>
      <c r="E197" s="177"/>
      <c r="F197" s="50"/>
      <c r="G197" s="50"/>
      <c r="H197" s="120"/>
      <c r="I197" s="22"/>
      <c r="J197" s="50"/>
      <c r="K197" s="50"/>
      <c r="L197" s="50"/>
      <c r="M197" s="50"/>
      <c r="N197" s="50">
        <f>AB197</f>
        <v>26</v>
      </c>
      <c r="O197" s="120"/>
      <c r="P197" s="96">
        <f>SUM(J197:N197)</f>
        <v>26</v>
      </c>
      <c r="Q197" s="97">
        <f>IF(C197=2011, P197/3,P197)+O197</f>
        <v>26</v>
      </c>
      <c r="R197" s="22"/>
      <c r="T197" s="13">
        <v>4</v>
      </c>
      <c r="V197" s="13">
        <f>14+1</f>
        <v>15</v>
      </c>
      <c r="W197" s="13">
        <f>7</f>
        <v>7</v>
      </c>
      <c r="Z197" s="95"/>
      <c r="AA197" s="96">
        <f>SUM(S197:Y197)</f>
        <v>26</v>
      </c>
      <c r="AB197" s="97">
        <f>IF(C197=2010, AA197/3,AA197)+Z197</f>
        <v>26</v>
      </c>
    </row>
    <row r="198" spans="1:47" x14ac:dyDescent="0.25">
      <c r="A198" s="60" t="s">
        <v>650</v>
      </c>
      <c r="B198" s="65" t="s">
        <v>298</v>
      </c>
      <c r="C198" s="62">
        <v>2010</v>
      </c>
      <c r="D198" s="1">
        <f>Q198+G198+F198+H198+E198</f>
        <v>27</v>
      </c>
      <c r="E198" s="177"/>
      <c r="F198" s="50"/>
      <c r="G198" s="50"/>
      <c r="H198" s="120"/>
      <c r="I198" s="22"/>
      <c r="J198" s="50"/>
      <c r="K198" s="50">
        <f>5</f>
        <v>5</v>
      </c>
      <c r="L198" s="50">
        <f>22</f>
        <v>22</v>
      </c>
      <c r="M198" s="50"/>
      <c r="N198" s="50"/>
      <c r="O198" s="120"/>
      <c r="P198" s="96">
        <f>SUM(J198:N198)</f>
        <v>27</v>
      </c>
      <c r="Q198" s="97">
        <f>IF(C198=2011, P198/3,P198)+O198</f>
        <v>27</v>
      </c>
      <c r="R198" s="22"/>
      <c r="Z198" s="95"/>
      <c r="AA198" s="96"/>
      <c r="AB198" s="97"/>
    </row>
    <row r="199" spans="1:47" x14ac:dyDescent="0.25">
      <c r="A199" s="71" t="s">
        <v>247</v>
      </c>
      <c r="B199" s="71" t="s">
        <v>233</v>
      </c>
      <c r="C199" s="72">
        <v>2010</v>
      </c>
      <c r="D199" s="1">
        <f>Q199+G199+F199+H199+E199</f>
        <v>20.666666666666668</v>
      </c>
      <c r="E199" s="177"/>
      <c r="F199" s="50"/>
      <c r="G199" s="50"/>
      <c r="H199" s="120"/>
      <c r="I199" s="22"/>
      <c r="J199" s="50"/>
      <c r="K199" s="50"/>
      <c r="L199" s="50">
        <f>0</f>
        <v>0</v>
      </c>
      <c r="M199" s="50">
        <f>0</f>
        <v>0</v>
      </c>
      <c r="N199" s="50">
        <f>AB199</f>
        <v>20.666666666666668</v>
      </c>
      <c r="O199" s="120"/>
      <c r="P199" s="96">
        <f>SUM(J199:N199)</f>
        <v>20.666666666666668</v>
      </c>
      <c r="Q199" s="97">
        <f>IF(C199=2011, P199/3,P199)+O199</f>
        <v>20.666666666666668</v>
      </c>
      <c r="R199" s="22"/>
      <c r="S199" s="182"/>
      <c r="T199" s="182"/>
      <c r="U199" s="182">
        <f>36</f>
        <v>36</v>
      </c>
      <c r="V199" s="182">
        <f>26</f>
        <v>26</v>
      </c>
      <c r="W199" s="182"/>
      <c r="X199" s="182">
        <f>0</f>
        <v>0</v>
      </c>
      <c r="Y199" s="36"/>
      <c r="Z199" s="95"/>
      <c r="AA199" s="96">
        <f>SUM(S199:Y199)</f>
        <v>62</v>
      </c>
      <c r="AB199" s="97">
        <f>IF(C199=2010, AA199/3,AA199)+Z199</f>
        <v>20.666666666666668</v>
      </c>
    </row>
    <row r="200" spans="1:47" x14ac:dyDescent="0.25">
      <c r="A200" s="71" t="s">
        <v>320</v>
      </c>
      <c r="B200" s="71" t="s">
        <v>63</v>
      </c>
      <c r="C200" s="72">
        <v>2010</v>
      </c>
      <c r="D200" s="1">
        <f>Q200+G200+F200+H200+E200</f>
        <v>0</v>
      </c>
      <c r="E200" s="177"/>
      <c r="F200" s="50"/>
      <c r="G200" s="50"/>
      <c r="H200" s="120"/>
      <c r="I200" s="22"/>
      <c r="J200" s="50"/>
      <c r="K200" s="50"/>
      <c r="L200" s="50"/>
      <c r="M200" s="50"/>
      <c r="N200" s="50">
        <f>AB200</f>
        <v>0</v>
      </c>
      <c r="O200" s="120"/>
      <c r="P200" s="96">
        <f>SUM(J200:N200)</f>
        <v>0</v>
      </c>
      <c r="Q200" s="97">
        <f>IF(C200=2011, P200/3,P200)+O200</f>
        <v>0</v>
      </c>
      <c r="R200" s="22"/>
      <c r="S200" s="182"/>
      <c r="T200" s="182"/>
      <c r="U200" s="182"/>
      <c r="V200" s="182">
        <f>0</f>
        <v>0</v>
      </c>
      <c r="W200" s="182"/>
      <c r="X200" s="182"/>
      <c r="Y200" s="36"/>
      <c r="Z200" s="95"/>
      <c r="AA200" s="96">
        <f>SUM(S200:Y200)</f>
        <v>0</v>
      </c>
      <c r="AB200" s="97">
        <f>IF(C200=2010, AA200/3,AA200)+Z200</f>
        <v>0</v>
      </c>
    </row>
    <row r="201" spans="1:47" x14ac:dyDescent="0.25">
      <c r="A201" s="71" t="s">
        <v>578</v>
      </c>
      <c r="B201" s="71" t="s">
        <v>63</v>
      </c>
      <c r="C201" s="72">
        <v>2009</v>
      </c>
      <c r="D201" s="1">
        <f>Q201+G201+F201+H201+E201</f>
        <v>295</v>
      </c>
      <c r="E201" s="177">
        <f>16+6+6+6</f>
        <v>34</v>
      </c>
      <c r="F201" s="50">
        <f>42+10+3+6</f>
        <v>61</v>
      </c>
      <c r="G201" s="50">
        <f>38+10+9</f>
        <v>57</v>
      </c>
      <c r="H201" s="120"/>
      <c r="I201" s="22"/>
      <c r="J201" s="50">
        <f>14+14</f>
        <v>28</v>
      </c>
      <c r="K201" s="50">
        <f>24+15</f>
        <v>39</v>
      </c>
      <c r="L201" s="50">
        <f>40+15</f>
        <v>55</v>
      </c>
      <c r="M201" s="50">
        <f>21</f>
        <v>21</v>
      </c>
      <c r="N201" s="50"/>
      <c r="O201" s="120"/>
      <c r="P201" s="96">
        <f>SUM(J201:N201)</f>
        <v>143</v>
      </c>
      <c r="Q201" s="97">
        <f>IF(C201=2011, P201/3,P201)+O201</f>
        <v>143</v>
      </c>
      <c r="R201" s="22"/>
      <c r="S201" s="50"/>
      <c r="T201" s="50"/>
      <c r="U201" s="50"/>
      <c r="V201" s="50"/>
      <c r="W201" s="50"/>
      <c r="X201" s="50"/>
      <c r="Y201" s="36"/>
      <c r="Z201" s="95"/>
      <c r="AA201" s="96"/>
      <c r="AB201" s="97"/>
    </row>
    <row r="202" spans="1:47" x14ac:dyDescent="0.25">
      <c r="A202" s="60" t="s">
        <v>353</v>
      </c>
      <c r="B202" s="65" t="s">
        <v>87</v>
      </c>
      <c r="C202" s="62">
        <v>2008</v>
      </c>
      <c r="D202" s="1">
        <f>Q202+G202+F202+H202+E202</f>
        <v>10</v>
      </c>
      <c r="E202" s="177"/>
      <c r="F202" s="50"/>
      <c r="G202" s="50"/>
      <c r="H202" s="120"/>
      <c r="I202" s="22"/>
      <c r="J202" s="50"/>
      <c r="K202" s="50"/>
      <c r="L202" s="50"/>
      <c r="M202" s="50"/>
      <c r="N202" s="50">
        <f>AB202</f>
        <v>10</v>
      </c>
      <c r="O202" s="120"/>
      <c r="P202" s="96">
        <f>SUM(J202:N202)</f>
        <v>10</v>
      </c>
      <c r="Q202" s="97">
        <f>IF(C202=2011, P202/3,P202)+O202</f>
        <v>10</v>
      </c>
      <c r="R202" s="22"/>
      <c r="V202" s="13">
        <f>6+4</f>
        <v>10</v>
      </c>
      <c r="Z202" s="95"/>
      <c r="AA202" s="96">
        <f>SUM(S202:Y202)</f>
        <v>10</v>
      </c>
      <c r="AB202" s="97">
        <f>IF(C202=2010, AA202/3,AA202)+Z202</f>
        <v>10</v>
      </c>
    </row>
    <row r="203" spans="1:47" x14ac:dyDescent="0.25">
      <c r="A203" s="11" t="s">
        <v>489</v>
      </c>
      <c r="B203" s="60" t="s">
        <v>63</v>
      </c>
      <c r="C203" s="62">
        <v>2010</v>
      </c>
      <c r="D203" s="1">
        <f>Q203+G203+F203+H203+E203</f>
        <v>218</v>
      </c>
      <c r="E203" s="177">
        <f>24+3+6+6</f>
        <v>39</v>
      </c>
      <c r="F203" s="50">
        <f>24+8+3+6</f>
        <v>41</v>
      </c>
      <c r="G203" s="50">
        <f>24+4+9</f>
        <v>37</v>
      </c>
      <c r="H203" s="120"/>
      <c r="I203" s="22"/>
      <c r="J203" s="50">
        <f>24+10</f>
        <v>34</v>
      </c>
      <c r="K203" s="50">
        <f>21+12</f>
        <v>33</v>
      </c>
      <c r="L203" s="50">
        <f>22+12</f>
        <v>34</v>
      </c>
      <c r="M203" s="50">
        <f>0</f>
        <v>0</v>
      </c>
      <c r="N203" s="50">
        <f>AB203</f>
        <v>0</v>
      </c>
      <c r="O203" s="120"/>
      <c r="P203" s="96">
        <f>SUM(J203:N203)</f>
        <v>101</v>
      </c>
      <c r="Q203" s="97">
        <f>IF(C203=2011, P203/3,P203)+O203</f>
        <v>101</v>
      </c>
      <c r="R203" s="22"/>
      <c r="S203" s="41"/>
      <c r="T203" s="41"/>
      <c r="U203" s="41"/>
      <c r="V203" s="41"/>
      <c r="W203" s="41"/>
      <c r="X203" s="41">
        <f>0</f>
        <v>0</v>
      </c>
      <c r="Z203" s="95"/>
      <c r="AA203" s="96">
        <f>SUM(S203:Y203)</f>
        <v>0</v>
      </c>
      <c r="AB203" s="97">
        <f>IF(C203=2010, AA203/3,AA203)+Z203</f>
        <v>0</v>
      </c>
    </row>
    <row r="204" spans="1:47" x14ac:dyDescent="0.25">
      <c r="A204" s="51" t="s">
        <v>573</v>
      </c>
      <c r="B204" s="51" t="s">
        <v>64</v>
      </c>
      <c r="C204" s="52">
        <v>2011</v>
      </c>
      <c r="D204" s="1">
        <f>Q204+G204+F204+H204+E204</f>
        <v>289.66666666666663</v>
      </c>
      <c r="E204" s="177"/>
      <c r="F204" s="50">
        <f>0</f>
        <v>0</v>
      </c>
      <c r="G204" s="50">
        <f>39</f>
        <v>39</v>
      </c>
      <c r="H204" s="120">
        <f>3+6</f>
        <v>9</v>
      </c>
      <c r="I204" s="182"/>
      <c r="J204" s="50"/>
      <c r="K204" s="50">
        <f>30+51</f>
        <v>81</v>
      </c>
      <c r="L204" s="50">
        <f>171+57</f>
        <v>228</v>
      </c>
      <c r="M204" s="50">
        <f>48</f>
        <v>48</v>
      </c>
      <c r="N204" s="50">
        <f>350</f>
        <v>350</v>
      </c>
      <c r="O204" s="120">
        <f>6</f>
        <v>6</v>
      </c>
      <c r="P204" s="96">
        <f>SUM(J204:N204)</f>
        <v>707</v>
      </c>
      <c r="Q204" s="97">
        <f>IF(C204=2011, P204/3,P204)+O204</f>
        <v>241.66666666666666</v>
      </c>
      <c r="R204" s="22"/>
      <c r="S204" s="50"/>
      <c r="T204" s="50"/>
      <c r="U204" s="50"/>
      <c r="V204" s="50"/>
      <c r="W204" s="50"/>
      <c r="X204" s="50"/>
      <c r="Y204" s="50"/>
      <c r="Z204" s="95"/>
      <c r="AA204" s="96"/>
      <c r="AB204" s="97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</row>
    <row r="205" spans="1:47" x14ac:dyDescent="0.25">
      <c r="A205" s="11" t="s">
        <v>678</v>
      </c>
      <c r="B205" s="60" t="s">
        <v>605</v>
      </c>
      <c r="C205" s="62" t="s">
        <v>679</v>
      </c>
      <c r="D205" s="1">
        <f>Q205+G205+F205+H205+E205</f>
        <v>69</v>
      </c>
      <c r="E205" s="177"/>
      <c r="F205" s="50"/>
      <c r="G205" s="50"/>
      <c r="H205" s="120"/>
      <c r="I205" s="22"/>
      <c r="J205" s="50"/>
      <c r="K205" s="50"/>
      <c r="L205" s="50">
        <f>69</f>
        <v>69</v>
      </c>
      <c r="M205" s="50"/>
      <c r="N205" s="50"/>
      <c r="O205" s="120"/>
      <c r="P205" s="96">
        <f>SUM(J205:N205)</f>
        <v>69</v>
      </c>
      <c r="Q205" s="97">
        <f>IF(C205=2011, P205/3,P205)+O205</f>
        <v>69</v>
      </c>
      <c r="R205" s="22"/>
      <c r="S205" s="41"/>
      <c r="T205" s="41"/>
      <c r="U205" s="41"/>
      <c r="V205" s="41"/>
      <c r="W205" s="41"/>
      <c r="X205" s="41"/>
      <c r="Z205" s="95"/>
      <c r="AA205" s="96"/>
      <c r="AB205" s="97"/>
    </row>
    <row r="206" spans="1:47" x14ac:dyDescent="0.25">
      <c r="A206" s="60" t="s">
        <v>388</v>
      </c>
      <c r="B206" s="65" t="s">
        <v>383</v>
      </c>
      <c r="C206" s="62">
        <v>2009</v>
      </c>
      <c r="D206" s="1">
        <f>Q206+G206+F206+H206+E206</f>
        <v>12</v>
      </c>
      <c r="E206" s="177"/>
      <c r="F206" s="50"/>
      <c r="G206" s="50"/>
      <c r="H206" s="120"/>
      <c r="I206" s="22"/>
      <c r="J206" s="50"/>
      <c r="K206" s="50"/>
      <c r="L206" s="50"/>
      <c r="M206" s="50"/>
      <c r="N206" s="50">
        <f>AB206</f>
        <v>12</v>
      </c>
      <c r="O206" s="120"/>
      <c r="P206" s="96">
        <f>SUM(J206:N206)</f>
        <v>12</v>
      </c>
      <c r="Q206" s="97">
        <f>IF(C206=2011, P206/3,P206)+O206</f>
        <v>12</v>
      </c>
      <c r="R206" s="22"/>
      <c r="V206" s="13">
        <f>3</f>
        <v>3</v>
      </c>
      <c r="X206" s="13">
        <f>9</f>
        <v>9</v>
      </c>
      <c r="Z206" s="95"/>
      <c r="AA206" s="96">
        <f>SUM(S206:Y206)</f>
        <v>12</v>
      </c>
      <c r="AB206" s="97">
        <f>IF(C206=2010, AA206/3,AA206)+Z206</f>
        <v>12</v>
      </c>
    </row>
    <row r="207" spans="1:47" x14ac:dyDescent="0.25">
      <c r="A207" s="51" t="s">
        <v>50</v>
      </c>
      <c r="B207" s="84" t="s">
        <v>23</v>
      </c>
      <c r="C207" s="52">
        <v>2008</v>
      </c>
      <c r="D207" s="1">
        <f>Q207+G207+F207+H207+E207</f>
        <v>288</v>
      </c>
      <c r="E207" s="177"/>
      <c r="F207" s="50"/>
      <c r="G207" s="50"/>
      <c r="H207" s="120"/>
      <c r="I207" s="22"/>
      <c r="J207" s="50"/>
      <c r="K207" s="50"/>
      <c r="L207" s="50">
        <f>141</f>
        <v>141</v>
      </c>
      <c r="M207" s="50"/>
      <c r="N207" s="50">
        <f>AB207</f>
        <v>147</v>
      </c>
      <c r="O207" s="120"/>
      <c r="P207" s="96">
        <f>SUM(J207:N207)</f>
        <v>288</v>
      </c>
      <c r="Q207" s="97">
        <f>IF(C207=2011, P207/3,P207)+O207</f>
        <v>288</v>
      </c>
      <c r="R207" s="22"/>
      <c r="S207" s="182">
        <f>9+3</f>
        <v>12</v>
      </c>
      <c r="T207" s="182"/>
      <c r="U207" s="182"/>
      <c r="V207" s="182"/>
      <c r="W207" s="182"/>
      <c r="X207" s="182"/>
      <c r="Y207" s="182">
        <v>135</v>
      </c>
      <c r="Z207" s="95"/>
      <c r="AA207" s="96">
        <f>SUM(S207:Y207)</f>
        <v>147</v>
      </c>
      <c r="AB207" s="97">
        <f>IF(C207=2010, AA207/3,AA207)+Z207</f>
        <v>147</v>
      </c>
    </row>
    <row r="208" spans="1:47" x14ac:dyDescent="0.25">
      <c r="A208" s="11" t="s">
        <v>710</v>
      </c>
      <c r="B208" s="60" t="s">
        <v>711</v>
      </c>
      <c r="C208" s="62">
        <v>2009</v>
      </c>
      <c r="D208" s="1">
        <f>Q208+G208+F208+H208+E208</f>
        <v>3</v>
      </c>
      <c r="E208" s="177"/>
      <c r="F208" s="50"/>
      <c r="G208" s="50"/>
      <c r="H208" s="120"/>
      <c r="I208" s="22"/>
      <c r="J208" s="50"/>
      <c r="K208" s="50">
        <f>3</f>
        <v>3</v>
      </c>
      <c r="L208" s="50"/>
      <c r="M208" s="50"/>
      <c r="N208" s="50"/>
      <c r="O208" s="120"/>
      <c r="P208" s="96">
        <f>SUM(J208:N208)</f>
        <v>3</v>
      </c>
      <c r="Q208" s="97">
        <f>IF(C208=2011, P208/3,P208)+O208</f>
        <v>3</v>
      </c>
      <c r="R208" s="22"/>
      <c r="S208" s="41"/>
      <c r="T208" s="41"/>
      <c r="U208" s="41"/>
      <c r="V208" s="41"/>
      <c r="W208" s="41"/>
      <c r="X208" s="41"/>
      <c r="Z208" s="95"/>
      <c r="AA208" s="96"/>
      <c r="AB208" s="97"/>
    </row>
    <row r="209" spans="1:28" x14ac:dyDescent="0.25">
      <c r="A209" s="71" t="s">
        <v>256</v>
      </c>
      <c r="B209" s="71" t="s">
        <v>233</v>
      </c>
      <c r="C209" s="72">
        <v>2011</v>
      </c>
      <c r="D209" s="1">
        <f>Q209+G209+F209+H209+E209</f>
        <v>0</v>
      </c>
      <c r="E209" s="177"/>
      <c r="F209" s="50"/>
      <c r="G209" s="50"/>
      <c r="H209" s="120"/>
      <c r="I209" s="50"/>
      <c r="J209" s="50"/>
      <c r="K209" s="50"/>
      <c r="L209" s="50"/>
      <c r="M209" s="50">
        <f>0</f>
        <v>0</v>
      </c>
      <c r="N209" s="50">
        <f>AB209</f>
        <v>0</v>
      </c>
      <c r="O209" s="120"/>
      <c r="P209" s="96">
        <f>SUM(J209:N209)</f>
        <v>0</v>
      </c>
      <c r="Q209" s="97">
        <f>IF(C209=2011, P209/3,P209)+O209</f>
        <v>0</v>
      </c>
      <c r="R209" s="22"/>
      <c r="S209" s="50"/>
      <c r="T209" s="50"/>
      <c r="U209" s="50">
        <f>0</f>
        <v>0</v>
      </c>
      <c r="V209" s="50"/>
      <c r="W209" s="50"/>
      <c r="X209" s="50"/>
      <c r="Y209" s="36"/>
      <c r="Z209" s="95"/>
      <c r="AA209" s="96">
        <f>SUM(S209:Y209)</f>
        <v>0</v>
      </c>
      <c r="AB209" s="97">
        <f>IF(C209=2015, AA209/3,AA209)+Z209</f>
        <v>0</v>
      </c>
    </row>
    <row r="210" spans="1:28" x14ac:dyDescent="0.25">
      <c r="A210" s="53" t="s">
        <v>56</v>
      </c>
      <c r="B210" s="86" t="s">
        <v>36</v>
      </c>
      <c r="C210" s="52">
        <v>2008</v>
      </c>
      <c r="D210" s="1">
        <f>Q210+G210+F210+H210+E210</f>
        <v>237</v>
      </c>
      <c r="E210" s="177">
        <f>3</f>
        <v>3</v>
      </c>
      <c r="F210" s="50">
        <f>9</f>
        <v>9</v>
      </c>
      <c r="G210" s="50"/>
      <c r="H210" s="120">
        <f>12+12+6</f>
        <v>30</v>
      </c>
      <c r="I210" s="22"/>
      <c r="J210" s="50">
        <f>42</f>
        <v>42</v>
      </c>
      <c r="K210" s="50">
        <f>36</f>
        <v>36</v>
      </c>
      <c r="L210" s="50">
        <f>42</f>
        <v>42</v>
      </c>
      <c r="M210" s="50">
        <f>16</f>
        <v>16</v>
      </c>
      <c r="N210" s="50">
        <f>AB210</f>
        <v>53</v>
      </c>
      <c r="O210" s="120">
        <f>6</f>
        <v>6</v>
      </c>
      <c r="P210" s="96">
        <f>SUM(J210:N210)</f>
        <v>189</v>
      </c>
      <c r="Q210" s="97">
        <f>IF(C210=2011, P210/3,P210)+O210</f>
        <v>195</v>
      </c>
      <c r="R210" s="22"/>
      <c r="S210" s="41">
        <v>3</v>
      </c>
      <c r="T210" s="41"/>
      <c r="U210" s="41">
        <f>2</f>
        <v>2</v>
      </c>
      <c r="V210" s="41"/>
      <c r="W210" s="41">
        <f>12+3</f>
        <v>15</v>
      </c>
      <c r="X210" s="41">
        <f>21+12</f>
        <v>33</v>
      </c>
      <c r="Y210" s="41"/>
      <c r="Z210" s="95"/>
      <c r="AA210" s="96">
        <f>SUM(S210:Y210)</f>
        <v>53</v>
      </c>
      <c r="AB210" s="97">
        <f>IF(C210=2010, AA210/3,AA210)+Z210</f>
        <v>53</v>
      </c>
    </row>
    <row r="211" spans="1:28" x14ac:dyDescent="0.25">
      <c r="A211" s="51" t="s">
        <v>21</v>
      </c>
      <c r="B211" s="84" t="s">
        <v>7</v>
      </c>
      <c r="C211" s="52">
        <v>2009</v>
      </c>
      <c r="D211" s="1">
        <f>Q211+G211+F211+H211+E211</f>
        <v>65.666666666666671</v>
      </c>
      <c r="E211" s="177"/>
      <c r="F211" s="50"/>
      <c r="G211" s="50"/>
      <c r="H211" s="120"/>
      <c r="I211" s="22"/>
      <c r="J211" s="50"/>
      <c r="K211" s="50"/>
      <c r="L211" s="50"/>
      <c r="M211" s="50"/>
      <c r="N211" s="50">
        <f>AB211</f>
        <v>65.666666666666671</v>
      </c>
      <c r="O211" s="120"/>
      <c r="P211" s="96">
        <f>SUM(J211:N211)</f>
        <v>65.666666666666671</v>
      </c>
      <c r="Q211" s="97">
        <f>IF(C211=2011, P211/3,P211)+O211</f>
        <v>65.666666666666671</v>
      </c>
      <c r="R211" s="22"/>
      <c r="S211" s="50">
        <f>0</f>
        <v>0</v>
      </c>
      <c r="T211" s="50"/>
      <c r="U211" s="50"/>
      <c r="V211" s="50">
        <f>0</f>
        <v>0</v>
      </c>
      <c r="W211" s="50"/>
      <c r="X211" s="50"/>
      <c r="Y211" s="182">
        <v>65.666666666666671</v>
      </c>
      <c r="Z211" s="95"/>
      <c r="AA211" s="96">
        <f>SUM(S211:Y211)</f>
        <v>65.666666666666671</v>
      </c>
      <c r="AB211" s="97">
        <f>IF(C211=2010, AA211/3,AA211)+Z211</f>
        <v>65.666666666666671</v>
      </c>
    </row>
    <row r="212" spans="1:28" x14ac:dyDescent="0.25">
      <c r="A212" s="53" t="s">
        <v>516</v>
      </c>
      <c r="B212" s="86" t="s">
        <v>87</v>
      </c>
      <c r="C212" s="52">
        <v>2008</v>
      </c>
      <c r="D212" s="1">
        <f>Q212+G212+F212+H212+E212</f>
        <v>93</v>
      </c>
      <c r="E212" s="177"/>
      <c r="F212" s="50">
        <f>9+6</f>
        <v>15</v>
      </c>
      <c r="G212" s="50"/>
      <c r="H212" s="120"/>
      <c r="I212" s="22"/>
      <c r="J212" s="50"/>
      <c r="K212" s="50"/>
      <c r="L212" s="50"/>
      <c r="M212" s="50"/>
      <c r="N212" s="50">
        <f>AB212</f>
        <v>78</v>
      </c>
      <c r="O212" s="120"/>
      <c r="P212" s="96">
        <f>SUM(J212:N212)</f>
        <v>78</v>
      </c>
      <c r="Q212" s="97">
        <f>IF(C212=2011, P212/3,P212)+O212</f>
        <v>78</v>
      </c>
      <c r="R212" s="22"/>
      <c r="S212" s="41"/>
      <c r="T212" s="41"/>
      <c r="U212" s="41"/>
      <c r="V212" s="41"/>
      <c r="W212" s="41"/>
      <c r="X212" s="41"/>
      <c r="Y212" s="41">
        <f>75</f>
        <v>75</v>
      </c>
      <c r="Z212" s="95">
        <f>3</f>
        <v>3</v>
      </c>
      <c r="AA212" s="96">
        <f>SUM(S212:Y212)</f>
        <v>75</v>
      </c>
      <c r="AB212" s="97">
        <f>IF(C212=2010, AA212/3,AA212)+Z212</f>
        <v>78</v>
      </c>
    </row>
    <row r="213" spans="1:28" x14ac:dyDescent="0.25">
      <c r="A213" s="71" t="s">
        <v>563</v>
      </c>
      <c r="B213" s="71" t="s">
        <v>64</v>
      </c>
      <c r="C213" s="72">
        <v>2011</v>
      </c>
      <c r="D213" s="1">
        <f>Q213+G213+F213+H213+E213</f>
        <v>6</v>
      </c>
      <c r="E213" s="177">
        <f>0+3+3</f>
        <v>6</v>
      </c>
      <c r="F213" s="50"/>
      <c r="G213" s="50">
        <f>0</f>
        <v>0</v>
      </c>
      <c r="H213" s="120"/>
      <c r="I213" s="182"/>
      <c r="J213" s="50"/>
      <c r="K213" s="50">
        <f>0</f>
        <v>0</v>
      </c>
      <c r="L213" s="50"/>
      <c r="M213" s="50">
        <f>0</f>
        <v>0</v>
      </c>
      <c r="N213" s="50"/>
      <c r="O213" s="120"/>
      <c r="P213" s="96">
        <f>SUM(J213:N213)</f>
        <v>0</v>
      </c>
      <c r="Q213" s="97">
        <f>IF(C213=2011, P213/3,P213)+O213</f>
        <v>0</v>
      </c>
      <c r="R213" s="22"/>
      <c r="S213" s="182"/>
      <c r="T213" s="182"/>
      <c r="U213" s="182"/>
      <c r="V213" s="182"/>
      <c r="W213" s="182"/>
      <c r="X213" s="182"/>
      <c r="Y213" s="36"/>
      <c r="Z213" s="95"/>
      <c r="AA213" s="96"/>
      <c r="AB213" s="97"/>
    </row>
    <row r="214" spans="1:28" x14ac:dyDescent="0.25">
      <c r="A214" s="53" t="s">
        <v>440</v>
      </c>
      <c r="B214" s="86" t="s">
        <v>112</v>
      </c>
      <c r="C214" s="52">
        <v>2009</v>
      </c>
      <c r="D214" s="1">
        <f>Q214+G214+F214+H214+E214</f>
        <v>81</v>
      </c>
      <c r="E214" s="177"/>
      <c r="F214" s="50"/>
      <c r="G214" s="50"/>
      <c r="H214" s="120"/>
      <c r="I214" s="22"/>
      <c r="J214" s="50"/>
      <c r="K214" s="50"/>
      <c r="L214" s="50">
        <f>22+13</f>
        <v>35</v>
      </c>
      <c r="M214" s="50">
        <f>21</f>
        <v>21</v>
      </c>
      <c r="N214" s="50">
        <f>AB214</f>
        <v>25</v>
      </c>
      <c r="O214" s="120"/>
      <c r="P214" s="96">
        <f>SUM(J214:N214)</f>
        <v>81</v>
      </c>
      <c r="Q214" s="97">
        <f>IF(C214=2011, P214/3,P214)+O214</f>
        <v>81</v>
      </c>
      <c r="R214" s="22"/>
      <c r="S214" s="41"/>
      <c r="T214" s="41"/>
      <c r="U214" s="41"/>
      <c r="V214" s="41"/>
      <c r="W214" s="41">
        <f>10</f>
        <v>10</v>
      </c>
      <c r="X214" s="41">
        <f>15</f>
        <v>15</v>
      </c>
      <c r="Y214" s="41"/>
      <c r="Z214" s="95"/>
      <c r="AA214" s="96">
        <f>SUM(S214:Y214)</f>
        <v>25</v>
      </c>
      <c r="AB214" s="97">
        <f>IF(C214=2010, AA214/3,AA214)+Z214</f>
        <v>25</v>
      </c>
    </row>
    <row r="215" spans="1:28" x14ac:dyDescent="0.25">
      <c r="A215" s="60" t="s">
        <v>182</v>
      </c>
      <c r="B215" s="65" t="s">
        <v>88</v>
      </c>
      <c r="C215" s="62">
        <v>2008</v>
      </c>
      <c r="D215" s="1">
        <f>Q215+G215+F215+H215+E215</f>
        <v>12</v>
      </c>
      <c r="E215" s="177"/>
      <c r="F215" s="50"/>
      <c r="G215" s="50"/>
      <c r="H215" s="120"/>
      <c r="I215" s="22"/>
      <c r="J215" s="50"/>
      <c r="K215" s="50"/>
      <c r="L215" s="50"/>
      <c r="M215" s="50"/>
      <c r="N215" s="50">
        <f>AB215</f>
        <v>12</v>
      </c>
      <c r="O215" s="120"/>
      <c r="P215" s="96">
        <f>SUM(J215:N215)</f>
        <v>12</v>
      </c>
      <c r="Q215" s="97">
        <f>IF(C215=2011, P215/3,P215)+O215</f>
        <v>12</v>
      </c>
      <c r="R215" s="22"/>
      <c r="T215" s="13">
        <f>12</f>
        <v>12</v>
      </c>
      <c r="Z215" s="95"/>
      <c r="AA215" s="96">
        <f>SUM(S215:Y215)</f>
        <v>12</v>
      </c>
      <c r="AB215" s="97">
        <f>IF(C215=2010, AA215/3,AA215)+Z215</f>
        <v>12</v>
      </c>
    </row>
    <row r="216" spans="1:28" x14ac:dyDescent="0.25">
      <c r="A216" s="71" t="s">
        <v>341</v>
      </c>
      <c r="B216" s="60" t="s">
        <v>7</v>
      </c>
      <c r="C216" s="72">
        <v>2011</v>
      </c>
      <c r="D216" s="1">
        <f>Q216+G216+F216+H216+E216</f>
        <v>6.333333333333333</v>
      </c>
      <c r="E216" s="177"/>
      <c r="F216" s="50"/>
      <c r="G216" s="50"/>
      <c r="H216" s="120"/>
      <c r="I216" s="50"/>
      <c r="J216" s="50"/>
      <c r="K216" s="50">
        <f>0</f>
        <v>0</v>
      </c>
      <c r="L216" s="50">
        <f>12</f>
        <v>12</v>
      </c>
      <c r="M216" s="50">
        <f>0+3+1</f>
        <v>4</v>
      </c>
      <c r="N216" s="50">
        <f>AB216</f>
        <v>3</v>
      </c>
      <c r="O216" s="120"/>
      <c r="P216" s="96">
        <f>SUM(J216:N216)</f>
        <v>19</v>
      </c>
      <c r="Q216" s="97">
        <f>IF(C216=2011, P216/3,P216)+O216</f>
        <v>6.333333333333333</v>
      </c>
      <c r="R216" s="22"/>
      <c r="S216" s="50"/>
      <c r="T216" s="50"/>
      <c r="U216" s="50"/>
      <c r="V216" s="50">
        <f>0+3</f>
        <v>3</v>
      </c>
      <c r="W216" s="50"/>
      <c r="X216" s="50"/>
      <c r="Y216" s="36"/>
      <c r="Z216" s="95"/>
      <c r="AA216" s="96">
        <f>SUM(S216:Y216)</f>
        <v>3</v>
      </c>
      <c r="AB216" s="97">
        <f>IF(C216=2015, AA216/3,AA216)+Z216</f>
        <v>3</v>
      </c>
    </row>
    <row r="217" spans="1:28" x14ac:dyDescent="0.25">
      <c r="A217" s="11" t="s">
        <v>244</v>
      </c>
      <c r="B217" s="11" t="s">
        <v>243</v>
      </c>
      <c r="C217" s="3">
        <v>2010</v>
      </c>
      <c r="D217" s="1">
        <f>Q217+G217+F217+H217+E217</f>
        <v>30.666666666666668</v>
      </c>
      <c r="E217" s="177"/>
      <c r="F217" s="50"/>
      <c r="G217" s="50"/>
      <c r="H217" s="120"/>
      <c r="I217" s="22"/>
      <c r="J217" s="50"/>
      <c r="K217" s="50"/>
      <c r="L217" s="50"/>
      <c r="M217" s="50"/>
      <c r="N217" s="50">
        <f>AB217</f>
        <v>30.666666666666668</v>
      </c>
      <c r="O217" s="120"/>
      <c r="P217" s="96">
        <f>SUM(J217:N217)</f>
        <v>30.666666666666668</v>
      </c>
      <c r="Q217" s="97">
        <f>IF(C217=2011, P217/3,P217)+O217</f>
        <v>30.666666666666668</v>
      </c>
      <c r="R217" s="22"/>
      <c r="S217" s="182"/>
      <c r="T217" s="182"/>
      <c r="U217" s="182">
        <f>36</f>
        <v>36</v>
      </c>
      <c r="V217" s="182"/>
      <c r="W217" s="182"/>
      <c r="X217" s="182"/>
      <c r="Y217" s="36">
        <f>56</f>
        <v>56</v>
      </c>
      <c r="Z217" s="95"/>
      <c r="AA217" s="96">
        <f>SUM(S217:Y217)</f>
        <v>92</v>
      </c>
      <c r="AB217" s="97">
        <f>IF(C217=2010, AA217/3,AA217)+Z217</f>
        <v>30.666666666666668</v>
      </c>
    </row>
    <row r="218" spans="1:28" x14ac:dyDescent="0.25">
      <c r="A218" s="11" t="s">
        <v>95</v>
      </c>
      <c r="B218" s="60" t="s">
        <v>64</v>
      </c>
      <c r="C218" s="62">
        <v>2011</v>
      </c>
      <c r="D218" s="1">
        <f>Q218+G218+F218+H218+E218</f>
        <v>132.66666666666666</v>
      </c>
      <c r="E218" s="177"/>
      <c r="F218" s="50">
        <f>33+9+18</f>
        <v>60</v>
      </c>
      <c r="G218" s="50">
        <f>9+6+6</f>
        <v>21</v>
      </c>
      <c r="H218" s="120"/>
      <c r="I218" s="182"/>
      <c r="J218" s="50"/>
      <c r="K218" s="50"/>
      <c r="L218" s="50">
        <f>50</f>
        <v>50</v>
      </c>
      <c r="M218" s="50">
        <f>0</f>
        <v>0</v>
      </c>
      <c r="N218" s="50">
        <f>AB218</f>
        <v>96</v>
      </c>
      <c r="O218" s="120">
        <f>3</f>
        <v>3</v>
      </c>
      <c r="P218" s="96">
        <f>SUM(J218:N218)</f>
        <v>146</v>
      </c>
      <c r="Q218" s="97">
        <f>IF(C218=2011, P218/3,P218)+O218</f>
        <v>51.666666666666664</v>
      </c>
      <c r="R218" s="22"/>
      <c r="S218" s="182"/>
      <c r="T218" s="182">
        <v>36</v>
      </c>
      <c r="U218" s="182">
        <f>60</f>
        <v>60</v>
      </c>
      <c r="V218" s="182"/>
      <c r="W218" s="182"/>
      <c r="X218" s="182"/>
      <c r="Y218" s="36"/>
      <c r="Z218" s="95"/>
      <c r="AA218" s="96">
        <f>SUM(S218:Y218)</f>
        <v>96</v>
      </c>
      <c r="AB218" s="97">
        <f>IF(C218=2015, AA218/3,AA218)+Z218</f>
        <v>96</v>
      </c>
    </row>
    <row r="219" spans="1:28" x14ac:dyDescent="0.25">
      <c r="A219" s="53" t="s">
        <v>53</v>
      </c>
      <c r="B219" s="84" t="s">
        <v>23</v>
      </c>
      <c r="C219" s="54">
        <v>2009</v>
      </c>
      <c r="D219" s="1">
        <f>Q219+G219+F219+H219+E219</f>
        <v>162</v>
      </c>
      <c r="E219" s="177"/>
      <c r="F219" s="50"/>
      <c r="G219" s="50"/>
      <c r="H219" s="120"/>
      <c r="I219" s="22"/>
      <c r="J219" s="50"/>
      <c r="K219" s="50"/>
      <c r="L219" s="50">
        <f>141</f>
        <v>141</v>
      </c>
      <c r="M219" s="50"/>
      <c r="N219" s="50">
        <f>AB219</f>
        <v>21</v>
      </c>
      <c r="O219" s="120"/>
      <c r="P219" s="96">
        <f>SUM(J219:N219)</f>
        <v>162</v>
      </c>
      <c r="Q219" s="97">
        <f>IF(C219=2011, P219/3,P219)+O219</f>
        <v>162</v>
      </c>
      <c r="R219" s="22"/>
      <c r="S219" s="41">
        <f>18+3</f>
        <v>21</v>
      </c>
      <c r="T219" s="41"/>
      <c r="U219" s="41"/>
      <c r="V219" s="41"/>
      <c r="W219" s="41"/>
      <c r="X219" s="41"/>
      <c r="Y219" s="41"/>
      <c r="Z219" s="95"/>
      <c r="AA219" s="96">
        <f>SUM(S219:Y219)</f>
        <v>21</v>
      </c>
      <c r="AB219" s="97">
        <f>IF(C219=2010, AA219/3,AA219)+Z219</f>
        <v>21</v>
      </c>
    </row>
    <row r="220" spans="1:28" x14ac:dyDescent="0.25">
      <c r="A220" s="53" t="s">
        <v>654</v>
      </c>
      <c r="B220" s="84" t="s">
        <v>7</v>
      </c>
      <c r="C220" s="54"/>
      <c r="D220" s="1">
        <f>Q220+G220+F220+H220+E220</f>
        <v>10</v>
      </c>
      <c r="E220" s="177"/>
      <c r="F220" s="50"/>
      <c r="G220" s="50"/>
      <c r="H220" s="120"/>
      <c r="I220" s="22"/>
      <c r="J220" s="50"/>
      <c r="K220" s="50"/>
      <c r="L220" s="50">
        <f>10</f>
        <v>10</v>
      </c>
      <c r="M220" s="50"/>
      <c r="N220" s="50"/>
      <c r="O220" s="120"/>
      <c r="P220" s="96">
        <f>SUM(J220:N220)</f>
        <v>10</v>
      </c>
      <c r="Q220" s="97">
        <f>IF(C220=2011, P220/3,P220)+O220</f>
        <v>10</v>
      </c>
      <c r="R220" s="22"/>
      <c r="S220" s="41"/>
      <c r="T220" s="41"/>
      <c r="U220" s="41"/>
      <c r="V220" s="41"/>
      <c r="W220" s="41"/>
      <c r="X220" s="41"/>
      <c r="Y220" s="41"/>
      <c r="Z220" s="95"/>
      <c r="AA220" s="96"/>
      <c r="AB220" s="97"/>
    </row>
    <row r="221" spans="1:28" x14ac:dyDescent="0.25">
      <c r="A221" s="53" t="s">
        <v>661</v>
      </c>
      <c r="B221" s="84" t="s">
        <v>64</v>
      </c>
      <c r="C221" s="54"/>
      <c r="D221" s="1">
        <f>Q221+G221+F221+H221+E221</f>
        <v>12</v>
      </c>
      <c r="E221" s="177"/>
      <c r="F221" s="50"/>
      <c r="G221" s="50"/>
      <c r="H221" s="120"/>
      <c r="I221" s="22"/>
      <c r="J221" s="50"/>
      <c r="K221" s="50"/>
      <c r="L221" s="50">
        <f>12</f>
        <v>12</v>
      </c>
      <c r="M221" s="50"/>
      <c r="N221" s="50"/>
      <c r="O221" s="120"/>
      <c r="P221" s="96">
        <f>SUM(J221:N221)</f>
        <v>12</v>
      </c>
      <c r="Q221" s="97">
        <f>IF(C221=2011, P221/3,P221)+O221</f>
        <v>12</v>
      </c>
      <c r="R221" s="22"/>
      <c r="S221" s="41"/>
      <c r="T221" s="41"/>
      <c r="U221" s="41"/>
      <c r="V221" s="41"/>
      <c r="W221" s="41"/>
      <c r="X221" s="41"/>
      <c r="Y221" s="41"/>
      <c r="Z221" s="95"/>
      <c r="AA221" s="96"/>
      <c r="AB221" s="97"/>
    </row>
    <row r="222" spans="1:28" x14ac:dyDescent="0.25">
      <c r="A222" s="53" t="s">
        <v>708</v>
      </c>
      <c r="B222" s="84" t="s">
        <v>63</v>
      </c>
      <c r="C222" s="54">
        <v>2010</v>
      </c>
      <c r="D222" s="1">
        <f>Q222+G222+F222+H222+E222</f>
        <v>6</v>
      </c>
      <c r="E222" s="177"/>
      <c r="F222" s="50"/>
      <c r="G222" s="50"/>
      <c r="H222" s="120"/>
      <c r="I222" s="22"/>
      <c r="J222" s="50"/>
      <c r="K222" s="50">
        <f>0+6</f>
        <v>6</v>
      </c>
      <c r="L222" s="50"/>
      <c r="M222" s="50"/>
      <c r="N222" s="50"/>
      <c r="O222" s="120"/>
      <c r="P222" s="96">
        <f>SUM(J222:N222)</f>
        <v>6</v>
      </c>
      <c r="Q222" s="97">
        <f>IF(C222=2011, P222/3,P222)+O222</f>
        <v>6</v>
      </c>
      <c r="R222" s="22"/>
      <c r="S222" s="41"/>
      <c r="T222" s="41"/>
      <c r="U222" s="41"/>
      <c r="V222" s="41"/>
      <c r="W222" s="41"/>
      <c r="X222" s="41"/>
      <c r="Y222" s="41"/>
      <c r="Z222" s="95"/>
      <c r="AA222" s="96"/>
      <c r="AB222" s="97"/>
    </row>
    <row r="223" spans="1:28" x14ac:dyDescent="0.25">
      <c r="A223" s="60" t="s">
        <v>168</v>
      </c>
      <c r="B223" s="65" t="s">
        <v>88</v>
      </c>
      <c r="C223" s="62">
        <v>2009</v>
      </c>
      <c r="D223" s="1">
        <f>Q223+G223+F223+H223+E223</f>
        <v>26</v>
      </c>
      <c r="E223" s="177"/>
      <c r="F223" s="50"/>
      <c r="G223" s="50"/>
      <c r="H223" s="120"/>
      <c r="I223" s="22"/>
      <c r="J223" s="50"/>
      <c r="K223" s="50"/>
      <c r="L223" s="50"/>
      <c r="M223" s="50"/>
      <c r="N223" s="50">
        <f>AB223</f>
        <v>26</v>
      </c>
      <c r="O223" s="120"/>
      <c r="P223" s="96">
        <f>SUM(J223:N223)</f>
        <v>26</v>
      </c>
      <c r="Q223" s="97">
        <f>IF(C223=2011, P223/3,P223)+O223</f>
        <v>26</v>
      </c>
      <c r="R223" s="22"/>
      <c r="T223" s="13">
        <f>9+17</f>
        <v>26</v>
      </c>
      <c r="Z223" s="95"/>
      <c r="AA223" s="96">
        <f>SUM(S223:Y223)</f>
        <v>26</v>
      </c>
      <c r="AB223" s="97">
        <f>IF(C223=2010, AA223/3,AA223)+Z223</f>
        <v>26</v>
      </c>
    </row>
    <row r="224" spans="1:28" x14ac:dyDescent="0.25">
      <c r="A224" s="11" t="s">
        <v>333</v>
      </c>
      <c r="B224" s="60" t="s">
        <v>7</v>
      </c>
      <c r="C224" s="62">
        <v>2011</v>
      </c>
      <c r="D224" s="1">
        <f>Q224+G224+F224+H224+E224</f>
        <v>16</v>
      </c>
      <c r="E224" s="177"/>
      <c r="F224" s="50"/>
      <c r="G224" s="50"/>
      <c r="H224" s="120"/>
      <c r="I224" s="50"/>
      <c r="J224" s="50"/>
      <c r="K224" s="50"/>
      <c r="L224" s="50"/>
      <c r="M224" s="50"/>
      <c r="N224" s="50">
        <f>AB224</f>
        <v>48</v>
      </c>
      <c r="O224" s="120"/>
      <c r="P224" s="96">
        <f>SUM(J224:N224)</f>
        <v>48</v>
      </c>
      <c r="Q224" s="97">
        <f>IF(C224=2011, P224/3,P224)+O224</f>
        <v>16</v>
      </c>
      <c r="R224" s="22"/>
      <c r="S224" s="182"/>
      <c r="T224" s="182"/>
      <c r="U224" s="182"/>
      <c r="V224" s="182">
        <f>48</f>
        <v>48</v>
      </c>
      <c r="W224" s="182"/>
      <c r="X224" s="182"/>
      <c r="Y224" s="36"/>
      <c r="Z224" s="95"/>
      <c r="AA224" s="96">
        <f>SUM(S224:Y224)</f>
        <v>48</v>
      </c>
      <c r="AB224" s="97">
        <f>IF(C224=2015, AA224/3,AA224)+Z224</f>
        <v>48</v>
      </c>
    </row>
    <row r="225" spans="1:28" x14ac:dyDescent="0.25">
      <c r="A225" s="53" t="s">
        <v>684</v>
      </c>
      <c r="B225" s="84" t="s">
        <v>605</v>
      </c>
      <c r="C225" s="54" t="s">
        <v>679</v>
      </c>
      <c r="D225" s="1">
        <f>Q225+G225+F225+H225+E225</f>
        <v>21</v>
      </c>
      <c r="E225" s="177"/>
      <c r="F225" s="50"/>
      <c r="G225" s="50"/>
      <c r="H225" s="120"/>
      <c r="I225" s="22"/>
      <c r="J225" s="50"/>
      <c r="K225" s="50"/>
      <c r="L225" s="50">
        <f>21</f>
        <v>21</v>
      </c>
      <c r="M225" s="50"/>
      <c r="N225" s="50"/>
      <c r="O225" s="120"/>
      <c r="P225" s="96">
        <f>SUM(J225:N225)</f>
        <v>21</v>
      </c>
      <c r="Q225" s="97">
        <f>IF(C225=2011, P225/3,P225)+O225</f>
        <v>21</v>
      </c>
      <c r="R225" s="22"/>
      <c r="S225" s="41"/>
      <c r="T225" s="41"/>
      <c r="U225" s="41"/>
      <c r="V225" s="41"/>
      <c r="W225" s="41"/>
      <c r="X225" s="41"/>
      <c r="Y225" s="41"/>
      <c r="Z225" s="95"/>
      <c r="AA225" s="96"/>
      <c r="AB225" s="97"/>
    </row>
    <row r="226" spans="1:28" x14ac:dyDescent="0.25">
      <c r="A226" s="60" t="s">
        <v>169</v>
      </c>
      <c r="B226" s="65" t="s">
        <v>112</v>
      </c>
      <c r="C226" s="62">
        <v>2008</v>
      </c>
      <c r="D226" s="1">
        <f>Q226+G226+F226+H226+E226</f>
        <v>108</v>
      </c>
      <c r="E226" s="177"/>
      <c r="F226" s="50"/>
      <c r="G226" s="50"/>
      <c r="H226" s="120"/>
      <c r="I226" s="22"/>
      <c r="J226" s="50"/>
      <c r="K226" s="50">
        <f>16</f>
        <v>16</v>
      </c>
      <c r="L226" s="50">
        <f>14</f>
        <v>14</v>
      </c>
      <c r="M226" s="50">
        <f>21</f>
        <v>21</v>
      </c>
      <c r="N226" s="50">
        <f>AB226</f>
        <v>57</v>
      </c>
      <c r="O226" s="120"/>
      <c r="P226" s="96">
        <f>SUM(J226:N226)</f>
        <v>108</v>
      </c>
      <c r="Q226" s="97">
        <f>IF(C226=2011, P226/3,P226)+O226</f>
        <v>108</v>
      </c>
      <c r="R226" s="22"/>
      <c r="T226" s="13">
        <v>12</v>
      </c>
      <c r="V226" s="13">
        <f>20+1</f>
        <v>21</v>
      </c>
      <c r="W226" s="13">
        <f>8</f>
        <v>8</v>
      </c>
      <c r="X226" s="13">
        <f>16</f>
        <v>16</v>
      </c>
      <c r="Z226" s="95"/>
      <c r="AA226" s="96">
        <f>SUM(S226:Y226)</f>
        <v>57</v>
      </c>
      <c r="AB226" s="97">
        <f>IF(C226=2010, AA226/3,AA226)+Z226</f>
        <v>57</v>
      </c>
    </row>
    <row r="227" spans="1:28" x14ac:dyDescent="0.25">
      <c r="A227" s="11" t="s">
        <v>328</v>
      </c>
      <c r="B227" s="60" t="s">
        <v>87</v>
      </c>
      <c r="C227" s="62">
        <v>2010</v>
      </c>
      <c r="D227" s="1">
        <f>Q227+G227+F227+H227+E227</f>
        <v>0</v>
      </c>
      <c r="E227" s="177"/>
      <c r="F227" s="50"/>
      <c r="G227" s="50"/>
      <c r="H227" s="120"/>
      <c r="I227" s="22"/>
      <c r="J227" s="50"/>
      <c r="K227" s="50"/>
      <c r="L227" s="50"/>
      <c r="M227" s="50"/>
      <c r="N227" s="50">
        <f>AB227</f>
        <v>0</v>
      </c>
      <c r="O227" s="120"/>
      <c r="P227" s="96">
        <f>SUM(J227:N227)</f>
        <v>0</v>
      </c>
      <c r="Q227" s="97">
        <f>IF(C227=2011, P227/3,P227)+O227</f>
        <v>0</v>
      </c>
      <c r="R227" s="22"/>
      <c r="S227" s="50"/>
      <c r="T227" s="50"/>
      <c r="U227" s="50"/>
      <c r="V227" s="50">
        <f>0</f>
        <v>0</v>
      </c>
      <c r="W227" s="50"/>
      <c r="X227" s="50"/>
      <c r="Y227" s="36"/>
      <c r="Z227" s="95"/>
      <c r="AA227" s="96">
        <f>SUM(S227:Y227)</f>
        <v>0</v>
      </c>
      <c r="AB227" s="97">
        <f>IF(C227=2010, AA227/3,AA227)+Z227</f>
        <v>0</v>
      </c>
    </row>
    <row r="228" spans="1:28" x14ac:dyDescent="0.25">
      <c r="A228" s="53" t="s">
        <v>351</v>
      </c>
      <c r="B228" s="86" t="s">
        <v>112</v>
      </c>
      <c r="C228" s="52">
        <v>2009</v>
      </c>
      <c r="D228" s="1">
        <f>Q228+G228+F228+H228+E228</f>
        <v>25</v>
      </c>
      <c r="E228" s="177"/>
      <c r="F228" s="50"/>
      <c r="G228" s="50"/>
      <c r="H228" s="120"/>
      <c r="I228" s="22"/>
      <c r="J228" s="50"/>
      <c r="K228" s="50"/>
      <c r="L228" s="50"/>
      <c r="M228" s="50"/>
      <c r="N228" s="50">
        <f>AB228</f>
        <v>25</v>
      </c>
      <c r="O228" s="120"/>
      <c r="P228" s="96">
        <f>SUM(J228:N228)</f>
        <v>25</v>
      </c>
      <c r="Q228" s="97">
        <f>IF(C228=2011, P228/3,P228)+O228</f>
        <v>25</v>
      </c>
      <c r="R228" s="22"/>
      <c r="S228" s="41"/>
      <c r="T228" s="41"/>
      <c r="U228" s="41"/>
      <c r="V228" s="41">
        <f>10</f>
        <v>10</v>
      </c>
      <c r="W228" s="41"/>
      <c r="X228" s="41"/>
      <c r="Y228" s="41">
        <f>15</f>
        <v>15</v>
      </c>
      <c r="Z228" s="95"/>
      <c r="AA228" s="96">
        <f>SUM(S228:Y228)</f>
        <v>25</v>
      </c>
      <c r="AB228" s="97">
        <f>IF(C228=2010, AA228/3,AA228)+Z228</f>
        <v>25</v>
      </c>
    </row>
    <row r="229" spans="1:28" x14ac:dyDescent="0.25">
      <c r="A229" s="11" t="s">
        <v>89</v>
      </c>
      <c r="B229" s="60" t="s">
        <v>64</v>
      </c>
      <c r="C229" s="62">
        <v>2011</v>
      </c>
      <c r="D229" s="1">
        <f>Q229+G229+F229+H229+E229</f>
        <v>195.33333333333334</v>
      </c>
      <c r="E229" s="177"/>
      <c r="F229" s="50">
        <f>33+3</f>
        <v>36</v>
      </c>
      <c r="G229" s="50">
        <f>18</f>
        <v>18</v>
      </c>
      <c r="H229" s="120">
        <f>6</f>
        <v>6</v>
      </c>
      <c r="I229" s="50"/>
      <c r="J229" s="50"/>
      <c r="K229" s="50">
        <f>60+51</f>
        <v>111</v>
      </c>
      <c r="L229" s="50">
        <f>75+57</f>
        <v>132</v>
      </c>
      <c r="M229" s="50">
        <f>48</f>
        <v>48</v>
      </c>
      <c r="N229" s="50">
        <f>AB229</f>
        <v>97</v>
      </c>
      <c r="O229" s="120">
        <f>6</f>
        <v>6</v>
      </c>
      <c r="P229" s="96">
        <f>SUM(J229:N229)</f>
        <v>388</v>
      </c>
      <c r="Q229" s="97">
        <f>IF(C229=2011, P229/3,P229)+O229</f>
        <v>135.33333333333334</v>
      </c>
      <c r="R229" s="22"/>
      <c r="S229" s="50"/>
      <c r="T229" s="50">
        <v>54</v>
      </c>
      <c r="U229" s="50"/>
      <c r="V229" s="50"/>
      <c r="W229" s="50"/>
      <c r="X229" s="50"/>
      <c r="Y229" s="36">
        <f>43</f>
        <v>43</v>
      </c>
      <c r="Z229" s="95"/>
      <c r="AA229" s="96">
        <f>SUM(S229:Y229)</f>
        <v>97</v>
      </c>
      <c r="AB229" s="97">
        <f>IF(C229=2015, AA229/3,AA229)+Z229</f>
        <v>97</v>
      </c>
    </row>
    <row r="230" spans="1:28" x14ac:dyDescent="0.25">
      <c r="A230" s="11" t="s">
        <v>141</v>
      </c>
      <c r="B230" s="60" t="s">
        <v>112</v>
      </c>
      <c r="C230" s="62">
        <v>2010</v>
      </c>
      <c r="D230" s="1">
        <f>Q230+G230+F230+H230+E230</f>
        <v>114.66666666666666</v>
      </c>
      <c r="E230" s="177"/>
      <c r="F230" s="50"/>
      <c r="G230" s="50"/>
      <c r="H230" s="120"/>
      <c r="I230" s="22"/>
      <c r="J230" s="50"/>
      <c r="K230" s="50">
        <f>10</f>
        <v>10</v>
      </c>
      <c r="L230" s="50">
        <f>22+8</f>
        <v>30</v>
      </c>
      <c r="M230" s="50">
        <f>16+6</f>
        <v>22</v>
      </c>
      <c r="N230" s="50">
        <f>AB230</f>
        <v>52.666666666666664</v>
      </c>
      <c r="O230" s="120"/>
      <c r="P230" s="96">
        <f>SUM(J230:N230)</f>
        <v>114.66666666666666</v>
      </c>
      <c r="Q230" s="97">
        <f>IF(C230=2011, P230/3,P230)+O230</f>
        <v>114.66666666666666</v>
      </c>
      <c r="R230" s="22"/>
      <c r="S230" s="41"/>
      <c r="T230" s="41">
        <f>8+4</f>
        <v>12</v>
      </c>
      <c r="U230" s="41"/>
      <c r="V230" s="41">
        <f>26</f>
        <v>26</v>
      </c>
      <c r="W230" s="41">
        <f>44</f>
        <v>44</v>
      </c>
      <c r="X230" s="41">
        <f>49</f>
        <v>49</v>
      </c>
      <c r="Z230" s="95">
        <f>6+3</f>
        <v>9</v>
      </c>
      <c r="AA230" s="96">
        <f>SUM(S230:Y230)</f>
        <v>131</v>
      </c>
      <c r="AB230" s="97">
        <f>IF(C230=2010, AA230/3,AA230)+Z230</f>
        <v>52.666666666666664</v>
      </c>
    </row>
    <row r="231" spans="1:28" x14ac:dyDescent="0.25">
      <c r="A231" s="11" t="s">
        <v>559</v>
      </c>
      <c r="B231" s="60" t="s">
        <v>64</v>
      </c>
      <c r="C231" s="62">
        <v>2011</v>
      </c>
      <c r="D231" s="1">
        <f>Q231+G231+F231+H231+E231</f>
        <v>12</v>
      </c>
      <c r="E231" s="177"/>
      <c r="F231" s="50"/>
      <c r="G231" s="50"/>
      <c r="H231" s="120"/>
      <c r="I231" s="50"/>
      <c r="J231" s="50"/>
      <c r="K231" s="50"/>
      <c r="L231" s="50"/>
      <c r="M231" s="50">
        <f>27</f>
        <v>27</v>
      </c>
      <c r="N231" s="50"/>
      <c r="O231" s="120">
        <f>3</f>
        <v>3</v>
      </c>
      <c r="P231" s="96">
        <f>SUM(J231:N231)</f>
        <v>27</v>
      </c>
      <c r="Q231" s="97">
        <f>IF(C231=2011, P231/3,P231)+O231</f>
        <v>12</v>
      </c>
      <c r="R231" s="22"/>
      <c r="S231" s="182"/>
      <c r="T231" s="182"/>
      <c r="U231" s="182"/>
      <c r="V231" s="182"/>
      <c r="W231" s="182"/>
      <c r="X231" s="182"/>
      <c r="Y231" s="36"/>
      <c r="Z231" s="95"/>
      <c r="AA231" s="96"/>
      <c r="AB231" s="97"/>
    </row>
    <row r="232" spans="1:28" x14ac:dyDescent="0.25">
      <c r="A232" s="11" t="s">
        <v>138</v>
      </c>
      <c r="B232" s="60" t="s">
        <v>112</v>
      </c>
      <c r="C232" s="62">
        <v>2011</v>
      </c>
      <c r="D232" s="1">
        <f>Q232+G232+F232+H232+E232</f>
        <v>175.33333333333331</v>
      </c>
      <c r="E232" s="177">
        <f>36+6</f>
        <v>42</v>
      </c>
      <c r="F232" s="50">
        <f>0+6</f>
        <v>6</v>
      </c>
      <c r="G232" s="50">
        <f>24+6</f>
        <v>30</v>
      </c>
      <c r="H232" s="120"/>
      <c r="I232" s="182"/>
      <c r="J232" s="50">
        <f>6+6</f>
        <v>12</v>
      </c>
      <c r="K232" s="50">
        <f>24+39</f>
        <v>63</v>
      </c>
      <c r="L232" s="50">
        <f>37+3</f>
        <v>40</v>
      </c>
      <c r="M232" s="50">
        <f>27+21</f>
        <v>48</v>
      </c>
      <c r="N232" s="50">
        <f>AB232</f>
        <v>129</v>
      </c>
      <c r="O232" s="120"/>
      <c r="P232" s="96">
        <f>SUM(J232:N232)</f>
        <v>292</v>
      </c>
      <c r="Q232" s="97">
        <f>IF(C232=2011, P232/3,P232)+O232</f>
        <v>97.333333333333329</v>
      </c>
      <c r="R232" s="22"/>
      <c r="S232" s="41"/>
      <c r="T232" s="41">
        <v>8</v>
      </c>
      <c r="U232" s="41"/>
      <c r="V232" s="41">
        <f>18+5</f>
        <v>23</v>
      </c>
      <c r="W232" s="41">
        <f>36+15</f>
        <v>51</v>
      </c>
      <c r="X232" s="41">
        <f>32+15</f>
        <v>47</v>
      </c>
      <c r="Z232" s="95"/>
      <c r="AA232" s="96">
        <f>SUM(S232:Y232)</f>
        <v>129</v>
      </c>
      <c r="AB232" s="97">
        <f>IF(C232=2015, AA232/3,AA232)+Z232</f>
        <v>129</v>
      </c>
    </row>
    <row r="233" spans="1:28" x14ac:dyDescent="0.25">
      <c r="A233" s="60" t="s">
        <v>180</v>
      </c>
      <c r="B233" s="85" t="s">
        <v>64</v>
      </c>
      <c r="C233" s="62">
        <v>2009</v>
      </c>
      <c r="D233" s="1">
        <f>Q233+G233+F233+H233+E233</f>
        <v>185</v>
      </c>
      <c r="E233" s="177"/>
      <c r="F233" s="50"/>
      <c r="G233" s="50"/>
      <c r="H233" s="120"/>
      <c r="I233" s="22"/>
      <c r="J233" s="50"/>
      <c r="K233" s="50"/>
      <c r="L233" s="50"/>
      <c r="M233" s="50"/>
      <c r="N233" s="50">
        <f>AB233</f>
        <v>185</v>
      </c>
      <c r="O233" s="120"/>
      <c r="P233" s="96">
        <f>SUM(J233:N233)</f>
        <v>185</v>
      </c>
      <c r="Q233" s="97">
        <f>IF(C233=2011, P233/3,P233)+O233</f>
        <v>185</v>
      </c>
      <c r="R233" s="22"/>
      <c r="T233" s="13">
        <v>15</v>
      </c>
      <c r="Y233" s="13">
        <f>170</f>
        <v>170</v>
      </c>
      <c r="Z233" s="95"/>
      <c r="AA233" s="96">
        <f>SUM(S233:Y233)</f>
        <v>185</v>
      </c>
      <c r="AB233" s="97">
        <f>IF(C233=2010, AA233/3,AA233)+Z233</f>
        <v>185</v>
      </c>
    </row>
    <row r="234" spans="1:28" x14ac:dyDescent="0.25">
      <c r="A234" s="60" t="s">
        <v>515</v>
      </c>
      <c r="B234" s="85" t="s">
        <v>36</v>
      </c>
      <c r="C234" s="62">
        <v>2008</v>
      </c>
      <c r="D234" s="1">
        <f>Q234+G234+F234+H234+E234</f>
        <v>46</v>
      </c>
      <c r="E234" s="177"/>
      <c r="F234" s="50"/>
      <c r="G234" s="50"/>
      <c r="H234" s="120"/>
      <c r="I234" s="22"/>
      <c r="J234" s="50"/>
      <c r="K234" s="50"/>
      <c r="L234" s="50"/>
      <c r="M234" s="50"/>
      <c r="N234" s="50">
        <f>AB234</f>
        <v>46</v>
      </c>
      <c r="O234" s="120"/>
      <c r="P234" s="96">
        <f>SUM(J234:N234)</f>
        <v>46</v>
      </c>
      <c r="Q234" s="97">
        <f>IF(C234=2011, P234/3,P234)+O234</f>
        <v>46</v>
      </c>
      <c r="R234" s="22"/>
      <c r="X234" s="13">
        <f>0+4</f>
        <v>4</v>
      </c>
      <c r="Y234" s="13">
        <f>42</f>
        <v>42</v>
      </c>
      <c r="Z234" s="95"/>
      <c r="AA234" s="96">
        <f>SUM(S234:Y234)</f>
        <v>46</v>
      </c>
      <c r="AB234" s="97">
        <f>IF(C234=2010, AA234/3,AA234)+Z234</f>
        <v>46</v>
      </c>
    </row>
    <row r="235" spans="1:28" x14ac:dyDescent="0.25">
      <c r="A235" s="71" t="s">
        <v>253</v>
      </c>
      <c r="B235" s="71" t="s">
        <v>233</v>
      </c>
      <c r="C235" s="72">
        <v>2011</v>
      </c>
      <c r="D235" s="1">
        <f>Q235+G235+F235+H235+E235</f>
        <v>0</v>
      </c>
      <c r="E235" s="177"/>
      <c r="F235" s="50"/>
      <c r="G235" s="50"/>
      <c r="H235" s="120"/>
      <c r="I235" s="182"/>
      <c r="J235" s="50"/>
      <c r="K235" s="50"/>
      <c r="L235" s="50"/>
      <c r="M235" s="50"/>
      <c r="N235" s="50">
        <f>AB235</f>
        <v>0</v>
      </c>
      <c r="O235" s="120"/>
      <c r="P235" s="96">
        <f>SUM(J235:N235)</f>
        <v>0</v>
      </c>
      <c r="Q235" s="97">
        <f>IF(C235=2011, P235/3,P235)+O235</f>
        <v>0</v>
      </c>
      <c r="R235" s="22"/>
      <c r="S235" s="182"/>
      <c r="T235" s="182"/>
      <c r="U235" s="182">
        <f>0</f>
        <v>0</v>
      </c>
      <c r="V235" s="182"/>
      <c r="W235" s="182"/>
      <c r="X235" s="182"/>
      <c r="Y235" s="36"/>
      <c r="Z235" s="95"/>
      <c r="AA235" s="96">
        <f>SUM(S235:Y235)</f>
        <v>0</v>
      </c>
      <c r="AB235" s="97">
        <f>IF(C235=2015, AA235/3,AA235)+Z235</f>
        <v>0</v>
      </c>
    </row>
    <row r="236" spans="1:28" x14ac:dyDescent="0.25">
      <c r="A236" s="61" t="s">
        <v>151</v>
      </c>
      <c r="B236" s="85" t="s">
        <v>64</v>
      </c>
      <c r="C236" s="63">
        <v>2008</v>
      </c>
      <c r="D236" s="1">
        <f>Q236+G236+F236+H236+E236</f>
        <v>4</v>
      </c>
      <c r="E236" s="177"/>
      <c r="F236" s="50"/>
      <c r="G236" s="50"/>
      <c r="H236" s="120"/>
      <c r="I236" s="22"/>
      <c r="J236" s="50"/>
      <c r="K236" s="50"/>
      <c r="L236" s="50"/>
      <c r="M236" s="50"/>
      <c r="N236" s="50">
        <f>AB236</f>
        <v>4</v>
      </c>
      <c r="O236" s="120"/>
      <c r="P236" s="96">
        <f>SUM(J236:N236)</f>
        <v>4</v>
      </c>
      <c r="Q236" s="97">
        <f>IF(C236=2011, P236/3,P236)+O236</f>
        <v>4</v>
      </c>
      <c r="R236" s="22"/>
      <c r="T236" s="13">
        <v>4</v>
      </c>
      <c r="Z236" s="95"/>
      <c r="AA236" s="96">
        <f>SUM(S236:Y236)</f>
        <v>4</v>
      </c>
      <c r="AB236" s="97">
        <f>IF(C236=2010, AA236/3,AA236)+Z236</f>
        <v>4</v>
      </c>
    </row>
    <row r="237" spans="1:28" x14ac:dyDescent="0.25">
      <c r="A237" s="71" t="s">
        <v>402</v>
      </c>
      <c r="B237" s="71" t="s">
        <v>112</v>
      </c>
      <c r="C237" s="72">
        <v>2011</v>
      </c>
      <c r="D237" s="1">
        <f>Q237+G237+F237+H237+E237</f>
        <v>22.666666666666668</v>
      </c>
      <c r="E237" s="177"/>
      <c r="F237" s="50"/>
      <c r="G237" s="50"/>
      <c r="H237" s="120"/>
      <c r="I237" s="182"/>
      <c r="J237" s="50"/>
      <c r="K237" s="50">
        <f>0</f>
        <v>0</v>
      </c>
      <c r="L237" s="50">
        <f>37+2</f>
        <v>39</v>
      </c>
      <c r="M237" s="50"/>
      <c r="N237" s="50">
        <f>AB237</f>
        <v>29</v>
      </c>
      <c r="O237" s="120"/>
      <c r="P237" s="96">
        <f>SUM(J237:N237)</f>
        <v>68</v>
      </c>
      <c r="Q237" s="97">
        <f>IF(C237=2011, P237/3,P237)+O237</f>
        <v>22.666666666666668</v>
      </c>
      <c r="R237" s="22"/>
      <c r="S237" s="50"/>
      <c r="T237" s="50"/>
      <c r="U237" s="50"/>
      <c r="V237" s="50"/>
      <c r="W237" s="50">
        <f>29</f>
        <v>29</v>
      </c>
      <c r="X237" s="50">
        <f>0</f>
        <v>0</v>
      </c>
      <c r="Y237" s="36"/>
      <c r="Z237" s="95"/>
      <c r="AA237" s="96">
        <f>SUM(S237:Y237)</f>
        <v>29</v>
      </c>
      <c r="AB237" s="97">
        <f>IF(C237=2015, AA237/3,AA237)+Z237</f>
        <v>29</v>
      </c>
    </row>
    <row r="238" spans="1:28" x14ac:dyDescent="0.25">
      <c r="A238" s="11" t="s">
        <v>242</v>
      </c>
      <c r="B238" s="11" t="s">
        <v>243</v>
      </c>
      <c r="C238" s="3">
        <v>2010</v>
      </c>
      <c r="D238" s="1">
        <f>Q238+G238+F238+H238+E238</f>
        <v>40.666666666666664</v>
      </c>
      <c r="E238" s="177"/>
      <c r="F238" s="50"/>
      <c r="G238" s="50"/>
      <c r="H238" s="120"/>
      <c r="I238" s="22"/>
      <c r="J238" s="50"/>
      <c r="K238" s="50"/>
      <c r="L238" s="50"/>
      <c r="M238" s="50"/>
      <c r="N238" s="50">
        <f>AB238</f>
        <v>40.666666666666664</v>
      </c>
      <c r="O238" s="120"/>
      <c r="P238" s="96">
        <f>SUM(J238:N238)</f>
        <v>40.666666666666664</v>
      </c>
      <c r="Q238" s="97">
        <f>IF(C238=2011, P238/3,P238)+O238</f>
        <v>40.666666666666664</v>
      </c>
      <c r="R238" s="22"/>
      <c r="S238" s="182"/>
      <c r="T238" s="182"/>
      <c r="U238" s="182">
        <f>48</f>
        <v>48</v>
      </c>
      <c r="V238" s="182"/>
      <c r="W238" s="182"/>
      <c r="X238" s="182"/>
      <c r="Y238" s="36">
        <f>74</f>
        <v>74</v>
      </c>
      <c r="Z238" s="95"/>
      <c r="AA238" s="96">
        <f>SUM(S238:Y238)</f>
        <v>122</v>
      </c>
      <c r="AB238" s="97">
        <f>IF(C238=2010, AA238/3,AA238)+Z238</f>
        <v>40.666666666666664</v>
      </c>
    </row>
    <row r="239" spans="1:28" x14ac:dyDescent="0.25">
      <c r="A239" s="11" t="s">
        <v>319</v>
      </c>
      <c r="B239" s="60" t="s">
        <v>6</v>
      </c>
      <c r="C239" s="62">
        <v>2011</v>
      </c>
      <c r="D239" s="1">
        <f>Q239+G239+F239+H239+E239</f>
        <v>63.333333333333336</v>
      </c>
      <c r="E239" s="177"/>
      <c r="F239" s="50"/>
      <c r="G239" s="50"/>
      <c r="H239" s="120"/>
      <c r="I239" s="182"/>
      <c r="J239" s="50"/>
      <c r="K239" s="50"/>
      <c r="L239" s="50">
        <f>47</f>
        <v>47</v>
      </c>
      <c r="M239" s="50">
        <f>36+21</f>
        <v>57</v>
      </c>
      <c r="N239" s="50">
        <f>AB239</f>
        <v>86</v>
      </c>
      <c r="O239" s="120"/>
      <c r="P239" s="96">
        <f>SUM(J239:N239)</f>
        <v>190</v>
      </c>
      <c r="Q239" s="97">
        <f>IF(C239=2011, P239/3,P239)+O239</f>
        <v>63.333333333333336</v>
      </c>
      <c r="R239" s="22"/>
      <c r="S239" s="41"/>
      <c r="T239" s="41"/>
      <c r="U239" s="41"/>
      <c r="V239" s="41">
        <f>0</f>
        <v>0</v>
      </c>
      <c r="W239" s="41">
        <f>29</f>
        <v>29</v>
      </c>
      <c r="X239" s="41">
        <f>42+15</f>
        <v>57</v>
      </c>
      <c r="Z239" s="95"/>
      <c r="AA239" s="96">
        <f>SUM(S239:Y239)</f>
        <v>86</v>
      </c>
      <c r="AB239" s="97">
        <f>IF(C239=2015, AA239/3,AA239)+Z239</f>
        <v>86</v>
      </c>
    </row>
    <row r="240" spans="1:28" x14ac:dyDescent="0.25">
      <c r="A240" s="61" t="s">
        <v>584</v>
      </c>
      <c r="B240" s="85" t="s">
        <v>64</v>
      </c>
      <c r="C240" s="63">
        <v>2010</v>
      </c>
      <c r="D240" s="1">
        <f>Q240+G240+F240+H240+E240</f>
        <v>120</v>
      </c>
      <c r="E240" s="177"/>
      <c r="F240" s="50">
        <f>0+18</f>
        <v>18</v>
      </c>
      <c r="G240" s="50">
        <f>0+6</f>
        <v>6</v>
      </c>
      <c r="H240" s="120"/>
      <c r="I240" s="22"/>
      <c r="J240" s="50"/>
      <c r="K240" s="50">
        <f>3</f>
        <v>3</v>
      </c>
      <c r="L240" s="50">
        <f>90</f>
        <v>90</v>
      </c>
      <c r="M240" s="50">
        <f>0+3</f>
        <v>3</v>
      </c>
      <c r="N240" s="50"/>
      <c r="O240" s="120"/>
      <c r="P240" s="96">
        <f>SUM(J240:N240)</f>
        <v>96</v>
      </c>
      <c r="Q240" s="97">
        <f>IF(C240=2011, P240/3,P240)+O240</f>
        <v>96</v>
      </c>
      <c r="R240" s="22"/>
      <c r="Z240" s="95"/>
      <c r="AA240" s="96"/>
      <c r="AB240" s="97"/>
    </row>
    <row r="241" spans="1:28" x14ac:dyDescent="0.25">
      <c r="A241" s="71" t="s">
        <v>317</v>
      </c>
      <c r="B241" s="71" t="s">
        <v>233</v>
      </c>
      <c r="C241" s="72">
        <v>2010</v>
      </c>
      <c r="D241" s="1">
        <f>Q241+G241+F241+H241+E241</f>
        <v>62</v>
      </c>
      <c r="E241" s="177"/>
      <c r="F241" s="50"/>
      <c r="G241" s="50">
        <f>24</f>
        <v>24</v>
      </c>
      <c r="H241" s="120"/>
      <c r="I241" s="22"/>
      <c r="J241" s="50">
        <f>8</f>
        <v>8</v>
      </c>
      <c r="K241" s="50">
        <f>10</f>
        <v>10</v>
      </c>
      <c r="L241" s="50">
        <f>20</f>
        <v>20</v>
      </c>
      <c r="M241" s="50"/>
      <c r="N241" s="50">
        <f>AB241</f>
        <v>0</v>
      </c>
      <c r="O241" s="120"/>
      <c r="P241" s="96">
        <f>SUM(J241:N241)</f>
        <v>38</v>
      </c>
      <c r="Q241" s="97">
        <f>IF(C241=2011, P241/3,P241)+O241</f>
        <v>38</v>
      </c>
      <c r="R241" s="22"/>
      <c r="S241" s="182"/>
      <c r="T241" s="182"/>
      <c r="U241" s="182"/>
      <c r="V241" s="182">
        <f>0</f>
        <v>0</v>
      </c>
      <c r="W241" s="182"/>
      <c r="X241" s="182">
        <f>0</f>
        <v>0</v>
      </c>
      <c r="Y241" s="36"/>
      <c r="Z241" s="95"/>
      <c r="AA241" s="96">
        <f>SUM(S241:Y241)</f>
        <v>0</v>
      </c>
      <c r="AB241" s="97">
        <f>IF(C241=2010, AA241/3,AA241)+Z241</f>
        <v>0</v>
      </c>
    </row>
    <row r="242" spans="1:28" x14ac:dyDescent="0.25">
      <c r="A242" s="71" t="s">
        <v>279</v>
      </c>
      <c r="B242" s="19" t="s">
        <v>233</v>
      </c>
      <c r="C242" s="72">
        <v>2008</v>
      </c>
      <c r="D242" s="1">
        <f>Q242+G242+F242+H242+E242</f>
        <v>26</v>
      </c>
      <c r="E242" s="177"/>
      <c r="F242" s="50"/>
      <c r="G242" s="50"/>
      <c r="H242" s="120"/>
      <c r="I242" s="22"/>
      <c r="J242" s="50"/>
      <c r="K242" s="50"/>
      <c r="L242" s="50"/>
      <c r="M242" s="50">
        <f>14</f>
        <v>14</v>
      </c>
      <c r="N242" s="50">
        <f>AB242</f>
        <v>12</v>
      </c>
      <c r="O242" s="120"/>
      <c r="P242" s="96">
        <f>SUM(J242:N242)</f>
        <v>26</v>
      </c>
      <c r="Q242" s="97">
        <f>IF(C242=2011, P242/3,P242)+O242</f>
        <v>26</v>
      </c>
      <c r="R242" s="22"/>
      <c r="U242" s="13">
        <v>12</v>
      </c>
      <c r="Z242" s="95"/>
      <c r="AA242" s="96">
        <f>SUM(S242:Y242)</f>
        <v>12</v>
      </c>
      <c r="AB242" s="97">
        <f>IF(C242=2010, AA242/3,AA242)+Z242</f>
        <v>12</v>
      </c>
    </row>
    <row r="243" spans="1:28" x14ac:dyDescent="0.25">
      <c r="A243" s="61" t="s">
        <v>156</v>
      </c>
      <c r="B243" s="85" t="s">
        <v>64</v>
      </c>
      <c r="C243" s="63">
        <v>2009</v>
      </c>
      <c r="D243" s="1">
        <f>Q243+G243+F243+H243+E243</f>
        <v>0</v>
      </c>
      <c r="E243" s="177"/>
      <c r="F243" s="50"/>
      <c r="G243" s="50"/>
      <c r="H243" s="120"/>
      <c r="I243" s="22"/>
      <c r="J243" s="50"/>
      <c r="K243" s="50"/>
      <c r="L243" s="50"/>
      <c r="M243" s="50"/>
      <c r="N243" s="50">
        <f>AB243</f>
        <v>0</v>
      </c>
      <c r="O243" s="120"/>
      <c r="P243" s="96">
        <f>SUM(J243:N243)</f>
        <v>0</v>
      </c>
      <c r="Q243" s="97">
        <f>IF(C243=2011, P243/3,P243)+O243</f>
        <v>0</v>
      </c>
      <c r="R243" s="22"/>
      <c r="T243" s="13">
        <v>0</v>
      </c>
      <c r="Z243" s="95"/>
      <c r="AA243" s="96">
        <f>SUM(S243:Y243)</f>
        <v>0</v>
      </c>
      <c r="AB243" s="97">
        <f>IF(C243=2010, AA243/3,AA243)+Z243</f>
        <v>0</v>
      </c>
    </row>
    <row r="244" spans="1:28" x14ac:dyDescent="0.25">
      <c r="A244" s="61" t="s">
        <v>443</v>
      </c>
      <c r="B244" s="85" t="s">
        <v>112</v>
      </c>
      <c r="C244" s="63">
        <v>2009</v>
      </c>
      <c r="D244" s="1">
        <f>Q244+G244+F244+H244+E244</f>
        <v>4</v>
      </c>
      <c r="E244" s="177"/>
      <c r="F244" s="50"/>
      <c r="G244" s="50"/>
      <c r="H244" s="120"/>
      <c r="I244" s="22"/>
      <c r="J244" s="50"/>
      <c r="K244" s="50"/>
      <c r="L244" s="50"/>
      <c r="M244" s="50"/>
      <c r="N244" s="50">
        <f>AB244</f>
        <v>4</v>
      </c>
      <c r="O244" s="120"/>
      <c r="P244" s="96">
        <f>SUM(J244:N244)</f>
        <v>4</v>
      </c>
      <c r="Q244" s="97">
        <f>IF(C244=2011, P244/3,P244)+O244</f>
        <v>4</v>
      </c>
      <c r="R244" s="22"/>
      <c r="W244" s="13">
        <f>4</f>
        <v>4</v>
      </c>
      <c r="Z244" s="95"/>
      <c r="AA244" s="96">
        <f>SUM(S244:Y244)</f>
        <v>4</v>
      </c>
      <c r="AB244" s="97">
        <f>IF(C244=2010, AA244/3,AA244)+Z244</f>
        <v>4</v>
      </c>
    </row>
    <row r="245" spans="1:28" x14ac:dyDescent="0.25">
      <c r="A245" s="71" t="s">
        <v>652</v>
      </c>
      <c r="B245" s="60" t="s">
        <v>63</v>
      </c>
      <c r="C245" s="72">
        <v>2010</v>
      </c>
      <c r="D245" s="1">
        <f>Q245+G245+F245+H245+E245</f>
        <v>242</v>
      </c>
      <c r="E245" s="177">
        <f>40+3+6+6</f>
        <v>55</v>
      </c>
      <c r="F245" s="50">
        <f>40+4+6</f>
        <v>50</v>
      </c>
      <c r="G245" s="50">
        <f>32+8+9</f>
        <v>49</v>
      </c>
      <c r="H245" s="120"/>
      <c r="I245" s="22"/>
      <c r="J245" s="50">
        <f>40+6</f>
        <v>46</v>
      </c>
      <c r="K245" s="50">
        <f>23+3</f>
        <v>26</v>
      </c>
      <c r="L245" s="50">
        <f>14+2</f>
        <v>16</v>
      </c>
      <c r="M245" s="50"/>
      <c r="N245" s="50"/>
      <c r="O245" s="120"/>
      <c r="P245" s="96">
        <f>SUM(J245:N245)</f>
        <v>88</v>
      </c>
      <c r="Q245" s="97">
        <f>IF(C245=2011, P245/3,P245)+O245</f>
        <v>88</v>
      </c>
      <c r="R245" s="22"/>
      <c r="S245" s="50"/>
      <c r="T245" s="50"/>
      <c r="U245" s="50"/>
      <c r="V245" s="50"/>
      <c r="W245" s="50"/>
      <c r="X245" s="50"/>
      <c r="Y245" s="36"/>
      <c r="Z245" s="95"/>
      <c r="AA245" s="96"/>
      <c r="AB245" s="97"/>
    </row>
    <row r="246" spans="1:28" x14ac:dyDescent="0.25">
      <c r="A246" s="60" t="s">
        <v>446</v>
      </c>
      <c r="B246" s="65" t="s">
        <v>63</v>
      </c>
      <c r="C246" s="62">
        <v>2009</v>
      </c>
      <c r="D246" s="1">
        <f>Q246+G246+F246+H246+E246</f>
        <v>0</v>
      </c>
      <c r="E246" s="177">
        <f>0</f>
        <v>0</v>
      </c>
      <c r="F246" s="50"/>
      <c r="G246" s="50"/>
      <c r="H246" s="120"/>
      <c r="I246" s="22"/>
      <c r="J246" s="50"/>
      <c r="K246" s="50"/>
      <c r="L246" s="50"/>
      <c r="M246" s="50"/>
      <c r="N246" s="50">
        <f>AB246</f>
        <v>0</v>
      </c>
      <c r="O246" s="120"/>
      <c r="P246" s="96">
        <f>SUM(J246:N246)</f>
        <v>0</v>
      </c>
      <c r="Q246" s="97">
        <f>IF(C246=2011, P246/3,P246)+O246</f>
        <v>0</v>
      </c>
      <c r="R246" s="22"/>
      <c r="W246" s="13">
        <f>0</f>
        <v>0</v>
      </c>
      <c r="Z246" s="95"/>
      <c r="AA246" s="96">
        <f>SUM(S246:Y246)</f>
        <v>0</v>
      </c>
      <c r="AB246" s="97">
        <f>IF(C246=2010, AA246/3,AA246)+Z246</f>
        <v>0</v>
      </c>
    </row>
    <row r="247" spans="1:28" x14ac:dyDescent="0.25">
      <c r="A247" s="11" t="s">
        <v>39</v>
      </c>
      <c r="B247" s="11" t="s">
        <v>36</v>
      </c>
      <c r="C247" s="3">
        <v>2010</v>
      </c>
      <c r="D247" s="1">
        <f>Q247+G247+F247+H247+E247</f>
        <v>37</v>
      </c>
      <c r="E247" s="177"/>
      <c r="F247" s="50"/>
      <c r="G247" s="50"/>
      <c r="H247" s="120"/>
      <c r="I247" s="22"/>
      <c r="J247" s="50"/>
      <c r="K247" s="50"/>
      <c r="L247" s="50"/>
      <c r="M247" s="50"/>
      <c r="N247" s="50">
        <f>AB247</f>
        <v>37</v>
      </c>
      <c r="O247" s="120"/>
      <c r="P247" s="96">
        <f>SUM(J247:N247)</f>
        <v>37</v>
      </c>
      <c r="Q247" s="97">
        <f>IF(C247=2011, P247/3,P247)+O247</f>
        <v>37</v>
      </c>
      <c r="R247" s="22"/>
      <c r="S247" s="50">
        <f>8</f>
        <v>8</v>
      </c>
      <c r="T247" s="50"/>
      <c r="U247" s="50">
        <f>24+12</f>
        <v>36</v>
      </c>
      <c r="V247" s="50">
        <f>52+15</f>
        <v>67</v>
      </c>
      <c r="W247" s="50"/>
      <c r="X247" s="50"/>
      <c r="Y247" s="36"/>
      <c r="Z247" s="95"/>
      <c r="AA247" s="96">
        <f>SUM(S247:Y247)</f>
        <v>111</v>
      </c>
      <c r="AB247" s="97">
        <f>IF(C247=2010, AA247/3,AA247)+Z247</f>
        <v>37</v>
      </c>
    </row>
    <row r="248" spans="1:28" x14ac:dyDescent="0.25">
      <c r="A248" s="11" t="s">
        <v>420</v>
      </c>
      <c r="B248" s="11" t="s">
        <v>63</v>
      </c>
      <c r="C248" s="3">
        <v>2010</v>
      </c>
      <c r="D248" s="1">
        <f>Q248+G248+F248+H248+E248</f>
        <v>142.66666666666669</v>
      </c>
      <c r="E248" s="177"/>
      <c r="F248" s="50">
        <f>24+3+6</f>
        <v>33</v>
      </c>
      <c r="G248" s="50">
        <f>0+9</f>
        <v>9</v>
      </c>
      <c r="H248" s="120"/>
      <c r="I248" s="22"/>
      <c r="J248" s="50">
        <f>24+4</f>
        <v>28</v>
      </c>
      <c r="K248" s="50">
        <f>11+12</f>
        <v>23</v>
      </c>
      <c r="L248" s="50">
        <f>22+12</f>
        <v>34</v>
      </c>
      <c r="M248" s="50">
        <f>10</f>
        <v>10</v>
      </c>
      <c r="N248" s="50">
        <f>AB248</f>
        <v>5.666666666666667</v>
      </c>
      <c r="O248" s="120"/>
      <c r="P248" s="96">
        <f>SUM(J248:N248)</f>
        <v>100.66666666666667</v>
      </c>
      <c r="Q248" s="97">
        <f>IF(C248=2011, P248/3,P248)+O248</f>
        <v>100.66666666666667</v>
      </c>
      <c r="R248" s="22"/>
      <c r="S248" s="50"/>
      <c r="T248" s="50"/>
      <c r="U248" s="50"/>
      <c r="V248" s="50"/>
      <c r="W248" s="50">
        <f>0</f>
        <v>0</v>
      </c>
      <c r="X248" s="50">
        <f>17</f>
        <v>17</v>
      </c>
      <c r="Y248" s="36"/>
      <c r="Z248" s="95"/>
      <c r="AA248" s="96">
        <f>SUM(S248:Y248)</f>
        <v>17</v>
      </c>
      <c r="AB248" s="97">
        <f>IF(C248=2010, AA248/3,AA248)+Z248</f>
        <v>5.666666666666667</v>
      </c>
    </row>
    <row r="249" spans="1:28" x14ac:dyDescent="0.25">
      <c r="A249" s="60" t="s">
        <v>163</v>
      </c>
      <c r="B249" s="65" t="s">
        <v>63</v>
      </c>
      <c r="C249" s="62">
        <v>2008</v>
      </c>
      <c r="D249" s="1">
        <f>Q249+G249+F249+H249+E249</f>
        <v>207</v>
      </c>
      <c r="E249" s="177">
        <f>34</f>
        <v>34</v>
      </c>
      <c r="F249" s="50">
        <f>18+9</f>
        <v>27</v>
      </c>
      <c r="G249" s="50"/>
      <c r="H249" s="120">
        <f>9</f>
        <v>9</v>
      </c>
      <c r="I249" s="22"/>
      <c r="J249" s="50"/>
      <c r="K249" s="50"/>
      <c r="L249" s="50">
        <f>45+14</f>
        <v>59</v>
      </c>
      <c r="M249" s="50">
        <f>28</f>
        <v>28</v>
      </c>
      <c r="N249" s="50">
        <f>AB249</f>
        <v>47</v>
      </c>
      <c r="O249" s="120">
        <f>3</f>
        <v>3</v>
      </c>
      <c r="P249" s="96">
        <f>SUM(J249:N249)</f>
        <v>134</v>
      </c>
      <c r="Q249" s="97">
        <f>IF(C249=2011, P249/3,P249)+O249</f>
        <v>137</v>
      </c>
      <c r="R249" s="22"/>
      <c r="T249" s="13">
        <v>12</v>
      </c>
      <c r="V249" s="13">
        <f>14</f>
        <v>14</v>
      </c>
      <c r="X249" s="13">
        <f>9+6</f>
        <v>15</v>
      </c>
      <c r="Z249" s="95">
        <f>6</f>
        <v>6</v>
      </c>
      <c r="AA249" s="96">
        <f>SUM(S249:Y249)</f>
        <v>41</v>
      </c>
      <c r="AB249" s="97">
        <f>IF(C249=2010, AA249/3,AA249)+Z249</f>
        <v>47</v>
      </c>
    </row>
    <row r="250" spans="1:28" ht="14.25" customHeight="1" x14ac:dyDescent="0.25">
      <c r="A250" s="11" t="s">
        <v>472</v>
      </c>
      <c r="B250" s="60" t="s">
        <v>233</v>
      </c>
      <c r="C250" s="62">
        <v>2010</v>
      </c>
      <c r="D250" s="1">
        <f>Q250+G250+F250+H250+E250</f>
        <v>25</v>
      </c>
      <c r="E250" s="177"/>
      <c r="F250" s="50"/>
      <c r="G250" s="50"/>
      <c r="H250" s="120"/>
      <c r="I250" s="22"/>
      <c r="J250" s="50"/>
      <c r="K250" s="50"/>
      <c r="L250" s="50"/>
      <c r="M250" s="50">
        <f>10</f>
        <v>10</v>
      </c>
      <c r="N250" s="50">
        <f>AB250</f>
        <v>15</v>
      </c>
      <c r="O250" s="120"/>
      <c r="P250" s="96">
        <f>SUM(J250:N250)</f>
        <v>25</v>
      </c>
      <c r="Q250" s="97">
        <f>IF(C250=2011, P250/3,P250)+O250</f>
        <v>25</v>
      </c>
      <c r="R250" s="22"/>
      <c r="S250" s="41"/>
      <c r="T250" s="41"/>
      <c r="U250" s="41"/>
      <c r="V250" s="41"/>
      <c r="W250" s="41"/>
      <c r="X250" s="41">
        <f>45</f>
        <v>45</v>
      </c>
      <c r="Z250" s="95"/>
      <c r="AA250" s="96">
        <f>SUM(S250:Y250)</f>
        <v>45</v>
      </c>
      <c r="AB250" s="97">
        <f>IF(C250=2010, AA250/3,AA250)+Z250</f>
        <v>15</v>
      </c>
    </row>
    <row r="251" spans="1:28" x14ac:dyDescent="0.25">
      <c r="A251" s="60" t="s">
        <v>352</v>
      </c>
      <c r="B251" s="65" t="s">
        <v>87</v>
      </c>
      <c r="C251" s="62">
        <v>2008</v>
      </c>
      <c r="D251" s="1">
        <f>Q251+G251+F251+H251+E251</f>
        <v>6</v>
      </c>
      <c r="E251" s="177"/>
      <c r="F251" s="50"/>
      <c r="G251" s="50"/>
      <c r="H251" s="120"/>
      <c r="I251" s="22"/>
      <c r="J251" s="50"/>
      <c r="K251" s="50"/>
      <c r="L251" s="50"/>
      <c r="M251" s="50"/>
      <c r="N251" s="50">
        <f>AB251</f>
        <v>6</v>
      </c>
      <c r="O251" s="120"/>
      <c r="P251" s="96">
        <f>SUM(J251:N251)</f>
        <v>6</v>
      </c>
      <c r="Q251" s="97">
        <f>IF(C251=2011, P251/3,P251)+O251</f>
        <v>6</v>
      </c>
      <c r="R251" s="22"/>
      <c r="V251" s="13">
        <f>6</f>
        <v>6</v>
      </c>
      <c r="Z251" s="95"/>
      <c r="AA251" s="96">
        <f>SUM(S251:Y251)</f>
        <v>6</v>
      </c>
      <c r="AB251" s="97">
        <f>IF(C251=2010, AA251/3,AA251)+Z251</f>
        <v>6</v>
      </c>
    </row>
    <row r="252" spans="1:28" x14ac:dyDescent="0.25">
      <c r="A252" s="11" t="s">
        <v>315</v>
      </c>
      <c r="B252" s="60" t="s">
        <v>6</v>
      </c>
      <c r="C252" s="62">
        <v>2010</v>
      </c>
      <c r="D252" s="1">
        <f>Q252+G252+F252+H252+E252</f>
        <v>79.666666666666657</v>
      </c>
      <c r="E252" s="177"/>
      <c r="F252" s="50"/>
      <c r="G252" s="50"/>
      <c r="H252" s="120"/>
      <c r="I252" s="22"/>
      <c r="J252" s="50"/>
      <c r="K252" s="50"/>
      <c r="L252" s="50"/>
      <c r="M252" s="50">
        <f>14+12</f>
        <v>26</v>
      </c>
      <c r="N252" s="50">
        <f>AB252</f>
        <v>53.666666666666664</v>
      </c>
      <c r="O252" s="120"/>
      <c r="P252" s="96">
        <f>SUM(J252:N252)</f>
        <v>79.666666666666657</v>
      </c>
      <c r="Q252" s="97">
        <f>IF(C252=2011, P252/3,P252)+O252</f>
        <v>79.666666666666657</v>
      </c>
      <c r="R252" s="22"/>
      <c r="S252" s="41"/>
      <c r="T252" s="41"/>
      <c r="U252" s="41"/>
      <c r="V252" s="41">
        <f>16+9</f>
        <v>25</v>
      </c>
      <c r="W252" s="41">
        <f>49</f>
        <v>49</v>
      </c>
      <c r="X252" s="41">
        <f>48+39</f>
        <v>87</v>
      </c>
      <c r="Z252" s="95"/>
      <c r="AA252" s="96">
        <f>SUM(S252:Y252)</f>
        <v>161</v>
      </c>
      <c r="AB252" s="97">
        <f>IF(C252=2010, AA252/3,AA252)+Z252</f>
        <v>53.666666666666664</v>
      </c>
    </row>
    <row r="253" spans="1:28" x14ac:dyDescent="0.25">
      <c r="A253" s="11" t="s">
        <v>474</v>
      </c>
      <c r="B253" s="60" t="s">
        <v>6</v>
      </c>
      <c r="C253" s="62">
        <v>2010</v>
      </c>
      <c r="D253" s="1">
        <f>Q253+G253+F253+H253+E253</f>
        <v>22.333333333333332</v>
      </c>
      <c r="E253" s="177"/>
      <c r="F253" s="50"/>
      <c r="G253" s="50"/>
      <c r="H253" s="120"/>
      <c r="I253" s="22"/>
      <c r="J253" s="50"/>
      <c r="K253" s="50"/>
      <c r="L253" s="50"/>
      <c r="M253" s="50"/>
      <c r="N253" s="50">
        <f>AB253</f>
        <v>22.333333333333332</v>
      </c>
      <c r="O253" s="120"/>
      <c r="P253" s="96">
        <f>SUM(J253:N253)</f>
        <v>22.333333333333332</v>
      </c>
      <c r="Q253" s="97">
        <f>IF(C253=2011, P253/3,P253)+O253</f>
        <v>22.333333333333332</v>
      </c>
      <c r="R253" s="22"/>
      <c r="S253" s="182"/>
      <c r="T253" s="182"/>
      <c r="U253" s="182"/>
      <c r="V253" s="182"/>
      <c r="W253" s="182"/>
      <c r="X253" s="182">
        <f>37+30</f>
        <v>67</v>
      </c>
      <c r="Y253" s="36"/>
      <c r="Z253" s="95"/>
      <c r="AA253" s="96">
        <f>SUM(S253:Y253)</f>
        <v>67</v>
      </c>
      <c r="AB253" s="97">
        <f>IF(C253=2010, AA253/3,AA253)+Z253</f>
        <v>22.333333333333332</v>
      </c>
    </row>
    <row r="254" spans="1:28" x14ac:dyDescent="0.25">
      <c r="A254" s="60" t="s">
        <v>385</v>
      </c>
      <c r="B254" s="65" t="s">
        <v>383</v>
      </c>
      <c r="C254" s="62">
        <v>2008</v>
      </c>
      <c r="D254" s="1">
        <f>Q254+G254+F254+H254+E254</f>
        <v>15</v>
      </c>
      <c r="E254" s="177"/>
      <c r="F254" s="50"/>
      <c r="G254" s="50"/>
      <c r="H254" s="120"/>
      <c r="I254" s="22"/>
      <c r="J254" s="50"/>
      <c r="K254" s="50"/>
      <c r="L254" s="50"/>
      <c r="M254" s="50"/>
      <c r="N254" s="50">
        <f>AB254</f>
        <v>15</v>
      </c>
      <c r="O254" s="120"/>
      <c r="P254" s="96">
        <f>SUM(J254:N254)</f>
        <v>15</v>
      </c>
      <c r="Q254" s="97">
        <f>IF(C254=2011, P254/3,P254)+O254</f>
        <v>15</v>
      </c>
      <c r="R254" s="22"/>
      <c r="V254" s="13">
        <f>15</f>
        <v>15</v>
      </c>
      <c r="Z254" s="95"/>
      <c r="AA254" s="96">
        <f>SUM(S254:Y254)</f>
        <v>15</v>
      </c>
      <c r="AB254" s="97">
        <f>IF(C254=2010, AA254/3,AA254)+Z254</f>
        <v>15</v>
      </c>
    </row>
    <row r="255" spans="1:28" x14ac:dyDescent="0.25">
      <c r="A255" s="11" t="s">
        <v>323</v>
      </c>
      <c r="B255" s="60" t="s">
        <v>87</v>
      </c>
      <c r="C255" s="62">
        <v>2011</v>
      </c>
      <c r="D255" s="1">
        <f>Q255+G255+F255+H255+E255</f>
        <v>0</v>
      </c>
      <c r="E255" s="177"/>
      <c r="F255" s="50"/>
      <c r="G255" s="50"/>
      <c r="H255" s="120"/>
      <c r="I255" s="50"/>
      <c r="J255" s="50"/>
      <c r="K255" s="50"/>
      <c r="L255" s="50"/>
      <c r="M255" s="50"/>
      <c r="N255" s="50">
        <f>AB255</f>
        <v>0</v>
      </c>
      <c r="O255" s="120"/>
      <c r="P255" s="96">
        <f>SUM(J255:N255)</f>
        <v>0</v>
      </c>
      <c r="Q255" s="97">
        <f>IF(C255=2011, P255/3,P255)+O255</f>
        <v>0</v>
      </c>
      <c r="R255" s="22"/>
      <c r="S255" s="50"/>
      <c r="T255" s="50"/>
      <c r="U255" s="50"/>
      <c r="V255" s="50">
        <f>0</f>
        <v>0</v>
      </c>
      <c r="W255" s="50"/>
      <c r="X255" s="50"/>
      <c r="Y255" s="36"/>
      <c r="Z255" s="95"/>
      <c r="AA255" s="96">
        <f>SUM(S255:Y255)</f>
        <v>0</v>
      </c>
      <c r="AB255" s="97">
        <f>IF(C255=2015, AA255/3,AA255)+Z255</f>
        <v>0</v>
      </c>
    </row>
    <row r="256" spans="1:28" x14ac:dyDescent="0.25">
      <c r="A256" s="51" t="s">
        <v>54</v>
      </c>
      <c r="B256" s="84" t="s">
        <v>23</v>
      </c>
      <c r="C256" s="52">
        <v>2009</v>
      </c>
      <c r="D256" s="1">
        <f>Q256+G256+F256+H256+E256</f>
        <v>97</v>
      </c>
      <c r="E256" s="177"/>
      <c r="F256" s="50"/>
      <c r="G256" s="50"/>
      <c r="H256" s="120"/>
      <c r="I256" s="22"/>
      <c r="J256" s="50"/>
      <c r="K256" s="50"/>
      <c r="L256" s="50"/>
      <c r="M256" s="50"/>
      <c r="N256" s="50">
        <f>AB256</f>
        <v>97</v>
      </c>
      <c r="O256" s="120"/>
      <c r="P256" s="96">
        <f>SUM(J256:N256)</f>
        <v>97</v>
      </c>
      <c r="Q256" s="97">
        <f>IF(C256=2011, P256/3,P256)+O256</f>
        <v>97</v>
      </c>
      <c r="R256" s="22"/>
      <c r="S256" s="182">
        <f>6+3</f>
        <v>9</v>
      </c>
      <c r="T256" s="182"/>
      <c r="U256" s="182"/>
      <c r="V256" s="182"/>
      <c r="W256" s="182"/>
      <c r="X256" s="182"/>
      <c r="Y256" s="182">
        <v>88</v>
      </c>
      <c r="Z256" s="95"/>
      <c r="AA256" s="96">
        <f>SUM(S256:Y256)</f>
        <v>97</v>
      </c>
      <c r="AB256" s="97">
        <f>IF(C256=2010, AA256/3,AA256)+Z256</f>
        <v>97</v>
      </c>
    </row>
    <row r="257" spans="1:28" x14ac:dyDescent="0.25">
      <c r="A257" s="60" t="s">
        <v>683</v>
      </c>
      <c r="B257" s="65" t="s">
        <v>605</v>
      </c>
      <c r="C257" s="62"/>
      <c r="D257" s="1">
        <f>Q257+G257+F257+H257+E257</f>
        <v>21</v>
      </c>
      <c r="E257" s="177"/>
      <c r="F257" s="50"/>
      <c r="G257" s="50"/>
      <c r="H257" s="120"/>
      <c r="I257" s="22"/>
      <c r="J257" s="50"/>
      <c r="K257" s="50"/>
      <c r="L257" s="50">
        <f>21</f>
        <v>21</v>
      </c>
      <c r="M257" s="50"/>
      <c r="N257" s="50"/>
      <c r="O257" s="120"/>
      <c r="P257" s="96">
        <f>SUM(J257:N257)</f>
        <v>21</v>
      </c>
      <c r="Q257" s="97">
        <f>IF(C257=2011, P257/3,P257)+O257</f>
        <v>21</v>
      </c>
      <c r="R257" s="22"/>
      <c r="Z257" s="95"/>
      <c r="AA257" s="96"/>
      <c r="AB257" s="97"/>
    </row>
    <row r="258" spans="1:28" x14ac:dyDescent="0.25">
      <c r="A258" s="11" t="s">
        <v>398</v>
      </c>
      <c r="B258" s="60" t="s">
        <v>6</v>
      </c>
      <c r="C258" s="62">
        <v>2011</v>
      </c>
      <c r="D258" s="1">
        <f>Q258+G258+F258+H258+E258</f>
        <v>12</v>
      </c>
      <c r="E258" s="177"/>
      <c r="F258" s="50"/>
      <c r="G258" s="50"/>
      <c r="H258" s="120"/>
      <c r="I258" s="182"/>
      <c r="J258" s="50"/>
      <c r="K258" s="50"/>
      <c r="L258" s="50"/>
      <c r="M258" s="50"/>
      <c r="N258" s="50">
        <f>AB258</f>
        <v>36</v>
      </c>
      <c r="O258" s="120"/>
      <c r="P258" s="96">
        <f>SUM(J258:N258)</f>
        <v>36</v>
      </c>
      <c r="Q258" s="97">
        <f>IF(C258=2011, P258/3,P258)+O258</f>
        <v>12</v>
      </c>
      <c r="R258" s="22"/>
      <c r="S258" s="182"/>
      <c r="T258" s="182"/>
      <c r="U258" s="182"/>
      <c r="V258" s="182"/>
      <c r="W258" s="182">
        <f>36</f>
        <v>36</v>
      </c>
      <c r="X258" s="182"/>
      <c r="Y258" s="36"/>
      <c r="Z258" s="95"/>
      <c r="AA258" s="96">
        <f>SUM(S258:Y258)</f>
        <v>36</v>
      </c>
      <c r="AB258" s="97">
        <f>IF(C258=2015, AA258/3,AA258)+Z258</f>
        <v>36</v>
      </c>
    </row>
    <row r="259" spans="1:28" x14ac:dyDescent="0.25">
      <c r="A259" s="11" t="s">
        <v>226</v>
      </c>
      <c r="B259" s="65" t="s">
        <v>88</v>
      </c>
      <c r="C259" s="3">
        <v>2010</v>
      </c>
      <c r="D259" s="1">
        <f>Q259+G259+F259+H259+E259</f>
        <v>15</v>
      </c>
      <c r="E259" s="177"/>
      <c r="F259" s="50"/>
      <c r="G259" s="50"/>
      <c r="H259" s="120"/>
      <c r="I259" s="22"/>
      <c r="J259" s="50"/>
      <c r="K259" s="50"/>
      <c r="L259" s="50"/>
      <c r="M259" s="50"/>
      <c r="N259" s="50">
        <f>AB259</f>
        <v>15</v>
      </c>
      <c r="O259" s="120"/>
      <c r="P259" s="96">
        <f>SUM(J259:N259)</f>
        <v>15</v>
      </c>
      <c r="Q259" s="97">
        <f>IF(C259=2011, P259/3,P259)+O259</f>
        <v>15</v>
      </c>
      <c r="R259" s="22"/>
      <c r="S259" s="41"/>
      <c r="T259" s="41"/>
      <c r="U259" s="41"/>
      <c r="V259" s="41"/>
      <c r="W259" s="41"/>
      <c r="X259" s="41"/>
      <c r="Z259" s="95">
        <f>15</f>
        <v>15</v>
      </c>
      <c r="AA259" s="96">
        <f>SUM(S259:Y259)</f>
        <v>0</v>
      </c>
      <c r="AB259" s="97">
        <f>IF(C259=2010, AA259/3,AA259)+Z259</f>
        <v>15</v>
      </c>
    </row>
    <row r="260" spans="1:28" s="17" customFormat="1" x14ac:dyDescent="0.25">
      <c r="A260" s="199" t="s">
        <v>15</v>
      </c>
      <c r="B260" s="200"/>
      <c r="C260" s="201"/>
      <c r="D260" s="22"/>
      <c r="E260" s="177"/>
      <c r="F260" s="50"/>
      <c r="G260" s="50"/>
      <c r="H260" s="50"/>
      <c r="I260" s="22"/>
      <c r="J260" s="50"/>
      <c r="K260" s="50"/>
      <c r="L260" s="50"/>
      <c r="M260" s="50"/>
      <c r="N260" s="50"/>
      <c r="O260" s="50"/>
      <c r="P260" s="96">
        <f t="shared" ref="P260" si="2">SUM(J260:N260)</f>
        <v>0</v>
      </c>
      <c r="Q260" s="97">
        <f t="shared" ref="Q227:Q260" si="3">IF(C260=2011, P260/3,P260)+O260</f>
        <v>0</v>
      </c>
      <c r="R260" s="22"/>
      <c r="S260" s="50"/>
      <c r="T260" s="50"/>
      <c r="U260" s="50"/>
      <c r="V260" s="50"/>
      <c r="W260" s="50"/>
      <c r="X260" s="50"/>
      <c r="Y260" s="50"/>
      <c r="Z260" s="68"/>
      <c r="AA260" s="68"/>
      <c r="AB260" s="68"/>
    </row>
    <row r="261" spans="1:28" s="17" customFormat="1" x14ac:dyDescent="0.25">
      <c r="A261" s="60" t="s">
        <v>816</v>
      </c>
      <c r="B261" s="65" t="s">
        <v>590</v>
      </c>
      <c r="C261" s="62">
        <v>2010</v>
      </c>
      <c r="D261" s="1">
        <f>Q261+G261+F261+H261+E261</f>
        <v>12</v>
      </c>
      <c r="E261" s="182"/>
      <c r="F261" s="182"/>
      <c r="G261" s="182">
        <f>12</f>
        <v>12</v>
      </c>
      <c r="H261" s="120"/>
      <c r="I261" s="22"/>
      <c r="J261" s="182"/>
      <c r="K261" s="182"/>
      <c r="L261" s="182"/>
      <c r="M261" s="182"/>
      <c r="N261" s="182"/>
      <c r="O261" s="120"/>
      <c r="P261" s="96"/>
      <c r="Q261" s="97"/>
      <c r="R261" s="22"/>
      <c r="S261" s="13"/>
      <c r="T261" s="13"/>
      <c r="U261" s="13"/>
      <c r="V261" s="13"/>
      <c r="W261" s="13"/>
      <c r="X261" s="13"/>
      <c r="Y261" s="13"/>
      <c r="Z261" s="95"/>
      <c r="AA261" s="96"/>
      <c r="AB261" s="97"/>
    </row>
    <row r="262" spans="1:28" s="17" customFormat="1" x14ac:dyDescent="0.25">
      <c r="A262" s="60" t="s">
        <v>930</v>
      </c>
      <c r="B262" s="65" t="s">
        <v>808</v>
      </c>
      <c r="C262" s="62"/>
      <c r="D262" s="1">
        <f>Q262+G262+F262+H262+E262</f>
        <v>3</v>
      </c>
      <c r="E262" s="177">
        <f>3</f>
        <v>3</v>
      </c>
      <c r="F262" s="50"/>
      <c r="G262" s="50"/>
      <c r="H262" s="120"/>
      <c r="I262" s="22"/>
      <c r="J262" s="50"/>
      <c r="K262" s="50"/>
      <c r="L262" s="50"/>
      <c r="M262" s="50"/>
      <c r="N262" s="50"/>
      <c r="O262" s="120"/>
      <c r="P262" s="96"/>
      <c r="Q262" s="97"/>
      <c r="R262" s="22"/>
      <c r="S262" s="13"/>
      <c r="T262" s="13"/>
      <c r="U262" s="13"/>
      <c r="V262" s="13"/>
      <c r="W262" s="13"/>
      <c r="X262" s="13"/>
      <c r="Y262" s="13"/>
      <c r="Z262" s="95"/>
      <c r="AA262" s="96"/>
      <c r="AB262" s="97"/>
    </row>
    <row r="263" spans="1:28" s="17" customFormat="1" x14ac:dyDescent="0.25">
      <c r="A263" s="60" t="s">
        <v>790</v>
      </c>
      <c r="B263" s="65" t="s">
        <v>637</v>
      </c>
      <c r="C263" s="62">
        <v>2011</v>
      </c>
      <c r="D263" s="1">
        <f>Q263+G263+F263+H263+E263</f>
        <v>28</v>
      </c>
      <c r="E263" s="177"/>
      <c r="F263" s="50">
        <f>0+5</f>
        <v>5</v>
      </c>
      <c r="G263" s="50">
        <f>19+4</f>
        <v>23</v>
      </c>
      <c r="H263" s="120"/>
      <c r="I263" s="22"/>
      <c r="J263" s="50"/>
      <c r="K263" s="50"/>
      <c r="L263" s="50"/>
      <c r="M263" s="50"/>
      <c r="N263" s="50"/>
      <c r="O263" s="120"/>
      <c r="P263" s="96"/>
      <c r="Q263" s="97"/>
      <c r="R263" s="22"/>
      <c r="S263" s="13"/>
      <c r="T263" s="13"/>
      <c r="U263" s="13"/>
      <c r="V263" s="13"/>
      <c r="W263" s="13"/>
      <c r="X263" s="13"/>
      <c r="Y263" s="13"/>
      <c r="Z263" s="95"/>
      <c r="AA263" s="96"/>
      <c r="AB263" s="97"/>
    </row>
    <row r="264" spans="1:28" s="17" customFormat="1" x14ac:dyDescent="0.25">
      <c r="A264" s="60" t="s">
        <v>802</v>
      </c>
      <c r="B264" s="65" t="s">
        <v>637</v>
      </c>
      <c r="C264" s="62">
        <v>2009</v>
      </c>
      <c r="D264" s="1">
        <f>Q264+G264+F264+H264+E264</f>
        <v>12</v>
      </c>
      <c r="E264" s="177"/>
      <c r="F264" s="50"/>
      <c r="G264" s="50">
        <f>0+12</f>
        <v>12</v>
      </c>
      <c r="H264" s="120"/>
      <c r="I264" s="22"/>
      <c r="J264" s="50"/>
      <c r="K264" s="50"/>
      <c r="L264" s="50"/>
      <c r="M264" s="50"/>
      <c r="N264" s="50"/>
      <c r="O264" s="120"/>
      <c r="P264" s="96"/>
      <c r="Q264" s="97"/>
      <c r="R264" s="22"/>
      <c r="S264" s="13"/>
      <c r="T264" s="13"/>
      <c r="U264" s="13"/>
      <c r="V264" s="13"/>
      <c r="W264" s="13"/>
      <c r="X264" s="13"/>
      <c r="Y264" s="13"/>
      <c r="Z264" s="95"/>
      <c r="AA264" s="96"/>
      <c r="AB264" s="97"/>
    </row>
    <row r="265" spans="1:28" s="17" customFormat="1" x14ac:dyDescent="0.25">
      <c r="A265" s="60" t="s">
        <v>868</v>
      </c>
      <c r="B265" s="65" t="s">
        <v>637</v>
      </c>
      <c r="C265" s="62">
        <v>2008</v>
      </c>
      <c r="D265" s="1">
        <f>Q265+G265+F265+H265+E265</f>
        <v>0</v>
      </c>
      <c r="E265" s="177"/>
      <c r="F265" s="50">
        <f>0</f>
        <v>0</v>
      </c>
      <c r="G265" s="50"/>
      <c r="H265" s="120"/>
      <c r="I265" s="22"/>
      <c r="J265" s="50"/>
      <c r="K265" s="50"/>
      <c r="L265" s="50"/>
      <c r="M265" s="50"/>
      <c r="N265" s="50"/>
      <c r="O265" s="120"/>
      <c r="P265" s="96"/>
      <c r="Q265" s="97"/>
      <c r="R265" s="22"/>
      <c r="S265" s="13"/>
      <c r="T265" s="13"/>
      <c r="U265" s="13"/>
      <c r="V265" s="13"/>
      <c r="W265" s="13"/>
      <c r="X265" s="13"/>
      <c r="Y265" s="13"/>
      <c r="Z265" s="95"/>
      <c r="AA265" s="96"/>
      <c r="AB265" s="97"/>
    </row>
    <row r="266" spans="1:28" s="17" customFormat="1" x14ac:dyDescent="0.25">
      <c r="A266" s="60" t="s">
        <v>933</v>
      </c>
      <c r="B266" s="65" t="s">
        <v>64</v>
      </c>
      <c r="C266" s="62"/>
      <c r="D266" s="1">
        <f>Q266+G266+F266+H266+E266</f>
        <v>3</v>
      </c>
      <c r="E266" s="182">
        <f>3</f>
        <v>3</v>
      </c>
      <c r="F266" s="182"/>
      <c r="G266" s="182"/>
      <c r="H266" s="120"/>
      <c r="I266" s="22"/>
      <c r="J266" s="182"/>
      <c r="K266" s="182"/>
      <c r="L266" s="182"/>
      <c r="M266" s="182"/>
      <c r="N266" s="182"/>
      <c r="O266" s="120"/>
      <c r="P266" s="96"/>
      <c r="Q266" s="97"/>
      <c r="R266" s="22"/>
      <c r="S266" s="13"/>
      <c r="T266" s="13"/>
      <c r="U266" s="13"/>
      <c r="V266" s="13"/>
      <c r="W266" s="13"/>
      <c r="X266" s="13"/>
      <c r="Y266" s="13"/>
      <c r="Z266" s="95"/>
      <c r="AA266" s="96"/>
      <c r="AB266" s="97"/>
    </row>
    <row r="267" spans="1:28" s="17" customFormat="1" x14ac:dyDescent="0.25">
      <c r="A267" s="60" t="s">
        <v>825</v>
      </c>
      <c r="B267" s="65" t="s">
        <v>590</v>
      </c>
      <c r="C267" s="62">
        <v>2011</v>
      </c>
      <c r="D267" s="1">
        <f>Q267+G267+F267+H267+E267</f>
        <v>3</v>
      </c>
      <c r="E267" s="177"/>
      <c r="F267" s="50"/>
      <c r="G267" s="50">
        <f>3</f>
        <v>3</v>
      </c>
      <c r="H267" s="120"/>
      <c r="I267" s="22"/>
      <c r="J267" s="50"/>
      <c r="K267" s="50"/>
      <c r="L267" s="50"/>
      <c r="M267" s="50"/>
      <c r="N267" s="50"/>
      <c r="O267" s="120"/>
      <c r="P267" s="96"/>
      <c r="Q267" s="97"/>
      <c r="R267" s="22"/>
      <c r="S267" s="13"/>
      <c r="T267" s="13"/>
      <c r="U267" s="13"/>
      <c r="V267" s="13"/>
      <c r="W267" s="13"/>
      <c r="X267" s="13"/>
      <c r="Y267" s="13"/>
      <c r="Z267" s="95"/>
      <c r="AA267" s="96"/>
      <c r="AB267" s="97"/>
    </row>
    <row r="268" spans="1:28" s="17" customFormat="1" x14ac:dyDescent="0.25">
      <c r="A268" s="60" t="s">
        <v>926</v>
      </c>
      <c r="B268" s="60" t="s">
        <v>707</v>
      </c>
      <c r="C268" s="62"/>
      <c r="D268" s="1">
        <f>Q268+G268+F268+H268+E268</f>
        <v>3</v>
      </c>
      <c r="E268" s="177">
        <f>0+3</f>
        <v>3</v>
      </c>
      <c r="F268" s="177"/>
      <c r="G268" s="177"/>
      <c r="H268" s="120"/>
      <c r="I268" s="22"/>
      <c r="J268" s="177"/>
      <c r="K268" s="177"/>
      <c r="L268" s="177"/>
      <c r="M268" s="177"/>
      <c r="N268" s="177"/>
      <c r="O268" s="120"/>
      <c r="P268" s="96"/>
      <c r="Q268" s="97"/>
      <c r="R268" s="22"/>
      <c r="S268" s="13"/>
      <c r="T268" s="13"/>
      <c r="U268" s="13"/>
      <c r="V268" s="13"/>
      <c r="W268" s="13"/>
      <c r="X268" s="13"/>
      <c r="Y268" s="13"/>
      <c r="Z268" s="95"/>
      <c r="AA268" s="96"/>
      <c r="AB268" s="97"/>
    </row>
    <row r="269" spans="1:28" x14ac:dyDescent="0.25">
      <c r="A269" s="77" t="s">
        <v>794</v>
      </c>
      <c r="B269" s="87" t="s">
        <v>637</v>
      </c>
      <c r="C269" s="3">
        <v>2011</v>
      </c>
      <c r="D269" s="1">
        <f>Q269+G269+F269+H269+E269</f>
        <v>33</v>
      </c>
      <c r="E269" s="177"/>
      <c r="F269" s="50">
        <f>14+3</f>
        <v>17</v>
      </c>
      <c r="G269" s="50">
        <f>14+2</f>
        <v>16</v>
      </c>
      <c r="H269" s="120"/>
      <c r="I269" s="22"/>
      <c r="J269" s="50"/>
      <c r="K269" s="50"/>
      <c r="L269" s="50"/>
      <c r="M269" s="50"/>
      <c r="N269" s="50"/>
      <c r="O269" s="120"/>
      <c r="P269" s="96"/>
      <c r="Q269" s="97"/>
      <c r="R269" s="22"/>
      <c r="Z269" s="95"/>
      <c r="AA269" s="96"/>
      <c r="AB269" s="97"/>
    </row>
    <row r="270" spans="1:28" x14ac:dyDescent="0.25">
      <c r="A270" s="77" t="s">
        <v>826</v>
      </c>
      <c r="B270" s="87" t="s">
        <v>590</v>
      </c>
      <c r="C270" s="3">
        <v>2011</v>
      </c>
      <c r="D270" s="1">
        <f>Q270+G270+F270+H270+E270</f>
        <v>3</v>
      </c>
      <c r="E270" s="177"/>
      <c r="F270" s="50"/>
      <c r="G270" s="50">
        <f>3</f>
        <v>3</v>
      </c>
      <c r="H270" s="120"/>
      <c r="I270" s="22"/>
      <c r="J270" s="50"/>
      <c r="K270" s="50"/>
      <c r="L270" s="50"/>
      <c r="M270" s="50"/>
      <c r="N270" s="50"/>
      <c r="O270" s="120"/>
      <c r="P270" s="96"/>
      <c r="Q270" s="97"/>
      <c r="R270" s="22"/>
      <c r="Z270" s="95"/>
      <c r="AA270" s="96"/>
      <c r="AB270" s="97"/>
    </row>
    <row r="271" spans="1:28" x14ac:dyDescent="0.25">
      <c r="A271" s="77" t="s">
        <v>820</v>
      </c>
      <c r="B271" s="87" t="s">
        <v>590</v>
      </c>
      <c r="C271" s="3">
        <v>2009</v>
      </c>
      <c r="D271" s="1">
        <f>Q271+G271+F271+H271+E271</f>
        <v>12</v>
      </c>
      <c r="E271" s="177"/>
      <c r="F271" s="50"/>
      <c r="G271" s="50">
        <f>12</f>
        <v>12</v>
      </c>
      <c r="H271" s="120"/>
      <c r="I271" s="22"/>
      <c r="J271" s="50"/>
      <c r="K271" s="50"/>
      <c r="L271" s="50"/>
      <c r="M271" s="50"/>
      <c r="N271" s="50"/>
      <c r="O271" s="120"/>
      <c r="P271" s="96"/>
      <c r="Q271" s="97"/>
      <c r="R271" s="22"/>
      <c r="Z271" s="95"/>
      <c r="AA271" s="96"/>
      <c r="AB271" s="97"/>
    </row>
    <row r="272" spans="1:28" x14ac:dyDescent="0.25">
      <c r="A272" s="77" t="s">
        <v>922</v>
      </c>
      <c r="B272" s="87" t="s">
        <v>64</v>
      </c>
      <c r="D272" s="1">
        <f>Q272+G272+F272+H272+E272</f>
        <v>3</v>
      </c>
      <c r="E272" s="177">
        <f>0+3</f>
        <v>3</v>
      </c>
      <c r="F272" s="177"/>
      <c r="G272" s="177"/>
      <c r="H272" s="120"/>
      <c r="I272" s="22"/>
      <c r="J272" s="177"/>
      <c r="K272" s="177"/>
      <c r="L272" s="177"/>
      <c r="M272" s="177"/>
      <c r="N272" s="177"/>
      <c r="O272" s="120"/>
      <c r="P272" s="96"/>
      <c r="Q272" s="97"/>
      <c r="R272" s="22"/>
      <c r="Z272" s="95"/>
      <c r="AA272" s="96"/>
      <c r="AB272" s="97"/>
    </row>
    <row r="273" spans="1:28" x14ac:dyDescent="0.25">
      <c r="A273" s="60" t="s">
        <v>751</v>
      </c>
      <c r="B273" s="65" t="s">
        <v>233</v>
      </c>
      <c r="C273" s="62">
        <v>2008</v>
      </c>
      <c r="D273" s="1">
        <f>Q273+G273+F273+H273+E273</f>
        <v>7</v>
      </c>
      <c r="E273" s="177"/>
      <c r="F273" s="50"/>
      <c r="G273" s="50"/>
      <c r="H273" s="120"/>
      <c r="I273" s="22"/>
      <c r="J273" s="50">
        <f>7</f>
        <v>7</v>
      </c>
      <c r="K273" s="50"/>
      <c r="L273" s="50"/>
      <c r="M273" s="50"/>
      <c r="N273" s="50"/>
      <c r="O273" s="120"/>
      <c r="P273" s="96">
        <f>SUM(J273:N273)</f>
        <v>7</v>
      </c>
      <c r="Q273" s="97">
        <f>IF(C273=2011, P273/3,P273)+O273</f>
        <v>7</v>
      </c>
      <c r="R273" s="22"/>
      <c r="Z273" s="95"/>
      <c r="AA273" s="96"/>
      <c r="AB273" s="97"/>
    </row>
    <row r="274" spans="1:28" x14ac:dyDescent="0.25">
      <c r="A274" s="60" t="s">
        <v>916</v>
      </c>
      <c r="B274" s="65" t="s">
        <v>63</v>
      </c>
      <c r="C274" s="62">
        <v>2011</v>
      </c>
      <c r="D274" s="1">
        <f>Q274+G274+F274+H274+E274</f>
        <v>18</v>
      </c>
      <c r="E274" s="177">
        <f>18</f>
        <v>18</v>
      </c>
      <c r="F274" s="177"/>
      <c r="G274" s="177"/>
      <c r="H274" s="120"/>
      <c r="I274" s="22"/>
      <c r="J274" s="177"/>
      <c r="K274" s="177"/>
      <c r="L274" s="177"/>
      <c r="M274" s="177"/>
      <c r="N274" s="177"/>
      <c r="O274" s="120"/>
      <c r="P274" s="96"/>
      <c r="Q274" s="97"/>
      <c r="R274" s="22"/>
      <c r="Z274" s="95"/>
      <c r="AA274" s="96"/>
      <c r="AB274" s="97"/>
    </row>
    <row r="275" spans="1:28" x14ac:dyDescent="0.25">
      <c r="A275" s="11" t="s">
        <v>732</v>
      </c>
      <c r="B275" s="11" t="s">
        <v>63</v>
      </c>
      <c r="C275" s="3">
        <v>2011</v>
      </c>
      <c r="D275" s="1">
        <f>Q275+G275+F275+H275+E275</f>
        <v>6</v>
      </c>
      <c r="E275" s="177"/>
      <c r="F275" s="50"/>
      <c r="G275" s="50"/>
      <c r="H275" s="120"/>
      <c r="I275" s="50"/>
      <c r="J275" s="50">
        <f>12</f>
        <v>12</v>
      </c>
      <c r="K275" s="50"/>
      <c r="L275" s="50"/>
      <c r="M275" s="50"/>
      <c r="N275" s="50"/>
      <c r="O275" s="120">
        <f>2</f>
        <v>2</v>
      </c>
      <c r="P275" s="96">
        <f>SUM(J275:N275)</f>
        <v>12</v>
      </c>
      <c r="Q275" s="97">
        <f>IF(C275=2011, P275/3,P275)+O275</f>
        <v>6</v>
      </c>
      <c r="R275" s="101"/>
      <c r="S275" s="41"/>
      <c r="T275" s="41"/>
      <c r="U275" s="41"/>
      <c r="V275" s="41"/>
      <c r="W275" s="41"/>
      <c r="X275" s="41"/>
      <c r="Y275" s="41"/>
      <c r="Z275" s="95"/>
      <c r="AA275" s="96"/>
      <c r="AB275" s="97"/>
    </row>
    <row r="276" spans="1:28" x14ac:dyDescent="0.25">
      <c r="A276" s="11" t="s">
        <v>865</v>
      </c>
      <c r="B276" s="11" t="s">
        <v>637</v>
      </c>
      <c r="C276" s="3">
        <v>2010</v>
      </c>
      <c r="D276" s="1">
        <f>Q276+G276+F276+H276+E276</f>
        <v>8</v>
      </c>
      <c r="E276" s="177"/>
      <c r="F276" s="50">
        <f>6+2</f>
        <v>8</v>
      </c>
      <c r="G276" s="50"/>
      <c r="H276" s="120"/>
      <c r="I276" s="50"/>
      <c r="J276" s="50"/>
      <c r="K276" s="50"/>
      <c r="L276" s="50"/>
      <c r="M276" s="50"/>
      <c r="N276" s="50"/>
      <c r="O276" s="120"/>
      <c r="P276" s="96"/>
      <c r="Q276" s="97"/>
      <c r="R276" s="101"/>
      <c r="S276" s="41"/>
      <c r="T276" s="41"/>
      <c r="U276" s="41"/>
      <c r="V276" s="41"/>
      <c r="W276" s="41"/>
      <c r="X276" s="41"/>
      <c r="Y276" s="41"/>
      <c r="Z276" s="95"/>
      <c r="AA276" s="96"/>
      <c r="AB276" s="97"/>
    </row>
    <row r="277" spans="1:28" x14ac:dyDescent="0.25">
      <c r="A277" s="60" t="s">
        <v>801</v>
      </c>
      <c r="B277" s="60" t="s">
        <v>707</v>
      </c>
      <c r="C277" s="62">
        <v>2009</v>
      </c>
      <c r="D277" s="1">
        <f>Q277+G277+F277+H277+E277</f>
        <v>9</v>
      </c>
      <c r="E277" s="177"/>
      <c r="F277" s="50">
        <f>0+3</f>
        <v>3</v>
      </c>
      <c r="G277" s="50">
        <f>0</f>
        <v>0</v>
      </c>
      <c r="H277" s="120">
        <f>6</f>
        <v>6</v>
      </c>
      <c r="I277" s="22"/>
      <c r="J277" s="50"/>
      <c r="K277" s="50"/>
      <c r="L277" s="50"/>
      <c r="M277" s="50"/>
      <c r="N277" s="50"/>
      <c r="O277" s="120"/>
      <c r="P277" s="96"/>
      <c r="Q277" s="97"/>
      <c r="R277" s="22"/>
      <c r="Z277" s="95"/>
      <c r="AA277" s="96"/>
      <c r="AB277" s="97"/>
    </row>
    <row r="278" spans="1:28" x14ac:dyDescent="0.25">
      <c r="A278" s="11" t="s">
        <v>798</v>
      </c>
      <c r="B278" s="60" t="s">
        <v>298</v>
      </c>
      <c r="C278" s="62">
        <v>2011</v>
      </c>
      <c r="D278" s="1">
        <f>Q278+G278+F278+H278+E278</f>
        <v>0</v>
      </c>
      <c r="E278" s="177"/>
      <c r="F278" s="50"/>
      <c r="G278" s="50">
        <f>0</f>
        <v>0</v>
      </c>
      <c r="H278" s="120"/>
      <c r="I278" s="22"/>
      <c r="J278" s="50"/>
      <c r="K278" s="50"/>
      <c r="L278" s="50"/>
      <c r="M278" s="50"/>
      <c r="N278" s="50"/>
      <c r="O278" s="120"/>
      <c r="P278" s="96"/>
      <c r="Q278" s="97"/>
      <c r="R278" s="22"/>
      <c r="S278" s="41"/>
      <c r="T278" s="41"/>
      <c r="U278" s="41"/>
      <c r="V278" s="41"/>
      <c r="W278" s="41"/>
      <c r="X278" s="41"/>
      <c r="Z278" s="95"/>
      <c r="AA278" s="96"/>
      <c r="AB278" s="97"/>
    </row>
    <row r="279" spans="1:28" x14ac:dyDescent="0.25">
      <c r="A279" s="11" t="s">
        <v>792</v>
      </c>
      <c r="B279" s="60" t="s">
        <v>298</v>
      </c>
      <c r="C279" s="62">
        <v>2010</v>
      </c>
      <c r="D279" s="1">
        <f>Q279+G279+F279+H279+E279</f>
        <v>16</v>
      </c>
      <c r="E279" s="177"/>
      <c r="F279" s="50"/>
      <c r="G279" s="50">
        <f>16</f>
        <v>16</v>
      </c>
      <c r="H279" s="120"/>
      <c r="I279" s="22"/>
      <c r="J279" s="50"/>
      <c r="K279" s="50"/>
      <c r="L279" s="50"/>
      <c r="M279" s="50"/>
      <c r="N279" s="50"/>
      <c r="O279" s="120"/>
      <c r="P279" s="96"/>
      <c r="Q279" s="97"/>
      <c r="R279" s="22"/>
      <c r="S279" s="41"/>
      <c r="T279" s="41"/>
      <c r="U279" s="41"/>
      <c r="V279" s="41"/>
      <c r="W279" s="41"/>
      <c r="X279" s="41"/>
      <c r="Z279" s="95"/>
      <c r="AA279" s="96"/>
      <c r="AB279" s="97"/>
    </row>
    <row r="280" spans="1:28" x14ac:dyDescent="0.25">
      <c r="A280" s="11" t="s">
        <v>818</v>
      </c>
      <c r="B280" s="60" t="s">
        <v>590</v>
      </c>
      <c r="C280" s="62">
        <v>2011</v>
      </c>
      <c r="D280" s="1">
        <f>Q280+G280+F280+H280+E280</f>
        <v>12</v>
      </c>
      <c r="E280" s="177"/>
      <c r="F280" s="50"/>
      <c r="G280" s="50">
        <f>12</f>
        <v>12</v>
      </c>
      <c r="H280" s="120"/>
      <c r="I280" s="22"/>
      <c r="J280" s="50"/>
      <c r="K280" s="50"/>
      <c r="L280" s="50"/>
      <c r="M280" s="50"/>
      <c r="N280" s="50"/>
      <c r="O280" s="120"/>
      <c r="P280" s="96"/>
      <c r="Q280" s="97"/>
      <c r="R280" s="22"/>
      <c r="S280" s="41"/>
      <c r="T280" s="41"/>
      <c r="U280" s="41"/>
      <c r="V280" s="41"/>
      <c r="W280" s="41"/>
      <c r="X280" s="41"/>
      <c r="Z280" s="95"/>
      <c r="AA280" s="96"/>
      <c r="AB280" s="97"/>
    </row>
    <row r="281" spans="1:28" x14ac:dyDescent="0.25">
      <c r="A281" s="11" t="s">
        <v>932</v>
      </c>
      <c r="B281" s="60" t="s">
        <v>64</v>
      </c>
      <c r="C281" s="62"/>
      <c r="D281" s="1">
        <f>Q281+G281+F281+H281+E281</f>
        <v>3</v>
      </c>
      <c r="E281" s="182">
        <f>3</f>
        <v>3</v>
      </c>
      <c r="F281" s="182"/>
      <c r="G281" s="182"/>
      <c r="H281" s="120"/>
      <c r="I281" s="22"/>
      <c r="J281" s="182"/>
      <c r="K281" s="182"/>
      <c r="L281" s="182"/>
      <c r="M281" s="182"/>
      <c r="N281" s="182"/>
      <c r="O281" s="120"/>
      <c r="P281" s="96"/>
      <c r="Q281" s="97"/>
      <c r="R281" s="22"/>
      <c r="S281" s="41"/>
      <c r="T281" s="41"/>
      <c r="U281" s="41"/>
      <c r="V281" s="41"/>
      <c r="W281" s="41"/>
      <c r="X281" s="41"/>
      <c r="Z281" s="95"/>
      <c r="AA281" s="96"/>
      <c r="AB281" s="97"/>
    </row>
    <row r="282" spans="1:28" x14ac:dyDescent="0.25">
      <c r="A282" s="11" t="s">
        <v>929</v>
      </c>
      <c r="B282" s="60" t="s">
        <v>298</v>
      </c>
      <c r="C282" s="62">
        <v>2010</v>
      </c>
      <c r="D282" s="1">
        <f>Q282+G282+F282+H282+E282</f>
        <v>1</v>
      </c>
      <c r="E282" s="177">
        <f>1</f>
        <v>1</v>
      </c>
      <c r="F282" s="177"/>
      <c r="G282" s="177"/>
      <c r="H282" s="120"/>
      <c r="I282" s="22"/>
      <c r="J282" s="177"/>
      <c r="K282" s="177"/>
      <c r="L282" s="177"/>
      <c r="M282" s="177"/>
      <c r="N282" s="177"/>
      <c r="O282" s="120"/>
      <c r="P282" s="96"/>
      <c r="Q282" s="97"/>
      <c r="R282" s="22"/>
      <c r="S282" s="41"/>
      <c r="T282" s="41"/>
      <c r="U282" s="41"/>
      <c r="V282" s="41"/>
      <c r="W282" s="41"/>
      <c r="X282" s="41"/>
      <c r="Z282" s="95"/>
      <c r="AA282" s="96"/>
      <c r="AB282" s="97"/>
    </row>
    <row r="283" spans="1:28" x14ac:dyDescent="0.25">
      <c r="A283" s="11" t="s">
        <v>753</v>
      </c>
      <c r="B283" s="60" t="s">
        <v>63</v>
      </c>
      <c r="C283" s="62">
        <v>2008</v>
      </c>
      <c r="D283" s="1">
        <f>Q283+G283+F283+H283+E283</f>
        <v>51</v>
      </c>
      <c r="E283" s="177">
        <f>10+5+1</f>
        <v>16</v>
      </c>
      <c r="F283" s="50">
        <f>6+6</f>
        <v>12</v>
      </c>
      <c r="G283" s="50">
        <f>8+5</f>
        <v>13</v>
      </c>
      <c r="H283" s="120"/>
      <c r="I283" s="22"/>
      <c r="J283" s="50">
        <f>7+3</f>
        <v>10</v>
      </c>
      <c r="K283" s="50"/>
      <c r="L283" s="50"/>
      <c r="M283" s="50"/>
      <c r="N283" s="50"/>
      <c r="O283" s="120"/>
      <c r="P283" s="96">
        <f>SUM(J283:N283)</f>
        <v>10</v>
      </c>
      <c r="Q283" s="97">
        <f>IF(C283=2011, P283/3,P283)+O283</f>
        <v>10</v>
      </c>
      <c r="R283" s="22"/>
      <c r="S283" s="41"/>
      <c r="T283" s="41"/>
      <c r="U283" s="41"/>
      <c r="V283" s="41"/>
      <c r="W283" s="41"/>
      <c r="X283" s="41"/>
      <c r="Z283" s="95"/>
      <c r="AA283" s="96"/>
      <c r="AB283" s="97"/>
    </row>
    <row r="284" spans="1:28" x14ac:dyDescent="0.25">
      <c r="A284" s="60" t="s">
        <v>756</v>
      </c>
      <c r="B284" s="65" t="s">
        <v>63</v>
      </c>
      <c r="C284" s="62">
        <v>2008</v>
      </c>
      <c r="D284" s="1">
        <f>Q284+G284+F284+H284+E284</f>
        <v>18</v>
      </c>
      <c r="E284" s="177">
        <f>10+1</f>
        <v>11</v>
      </c>
      <c r="F284" s="50">
        <f>6</f>
        <v>6</v>
      </c>
      <c r="G284" s="50">
        <f>0</f>
        <v>0</v>
      </c>
      <c r="H284" s="120"/>
      <c r="I284" s="22"/>
      <c r="J284" s="50">
        <f>0+1</f>
        <v>1</v>
      </c>
      <c r="K284" s="50"/>
      <c r="L284" s="50"/>
      <c r="M284" s="50"/>
      <c r="N284" s="50"/>
      <c r="O284" s="120"/>
      <c r="P284" s="96">
        <f>SUM(J284:N284)</f>
        <v>1</v>
      </c>
      <c r="Q284" s="97">
        <f>IF(C284=2011, P284/3,P284)+O284</f>
        <v>1</v>
      </c>
      <c r="R284" s="22"/>
      <c r="Z284" s="95"/>
      <c r="AA284" s="96"/>
      <c r="AB284" s="97"/>
    </row>
    <row r="285" spans="1:28" x14ac:dyDescent="0.25">
      <c r="A285" s="71" t="s">
        <v>795</v>
      </c>
      <c r="B285" s="71" t="s">
        <v>63</v>
      </c>
      <c r="C285" s="72">
        <v>2010</v>
      </c>
      <c r="D285" s="1">
        <f>Q285+G285+F285+H285+E285</f>
        <v>35</v>
      </c>
      <c r="E285" s="177">
        <f>10+3</f>
        <v>13</v>
      </c>
      <c r="F285" s="50">
        <f>12+1</f>
        <v>13</v>
      </c>
      <c r="G285" s="50">
        <f>8+1</f>
        <v>9</v>
      </c>
      <c r="H285" s="120"/>
      <c r="I285" s="50"/>
      <c r="J285" s="50"/>
      <c r="K285" s="50"/>
      <c r="L285" s="50"/>
      <c r="M285" s="50"/>
      <c r="N285" s="50"/>
      <c r="O285" s="120"/>
      <c r="P285" s="96"/>
      <c r="Q285" s="97"/>
      <c r="R285" s="22"/>
      <c r="S285" s="50"/>
      <c r="T285" s="50"/>
      <c r="U285" s="50"/>
      <c r="V285" s="50"/>
      <c r="W285" s="50"/>
      <c r="X285" s="50"/>
      <c r="Y285" s="36"/>
      <c r="Z285" s="95"/>
      <c r="AA285" s="96"/>
      <c r="AB285" s="97"/>
    </row>
    <row r="286" spans="1:28" x14ac:dyDescent="0.25">
      <c r="A286" s="60" t="s">
        <v>752</v>
      </c>
      <c r="B286" s="65" t="s">
        <v>63</v>
      </c>
      <c r="C286" s="62">
        <v>2008</v>
      </c>
      <c r="D286" s="1">
        <f>Q286+G286+F286+H286+E286</f>
        <v>16</v>
      </c>
      <c r="E286" s="177"/>
      <c r="F286" s="50"/>
      <c r="G286" s="50">
        <f>0+9</f>
        <v>9</v>
      </c>
      <c r="H286" s="120"/>
      <c r="I286" s="22"/>
      <c r="J286" s="50">
        <f>7</f>
        <v>7</v>
      </c>
      <c r="K286" s="50"/>
      <c r="L286" s="50"/>
      <c r="M286" s="50"/>
      <c r="N286" s="50"/>
      <c r="O286" s="120"/>
      <c r="P286" s="96">
        <f>SUM(J286:N286)</f>
        <v>7</v>
      </c>
      <c r="Q286" s="97">
        <f>IF(C286=2011, P286/3,P286)+O286</f>
        <v>7</v>
      </c>
      <c r="R286" s="22"/>
      <c r="Z286" s="95"/>
      <c r="AA286" s="96"/>
      <c r="AB286" s="97"/>
    </row>
    <row r="287" spans="1:28" x14ac:dyDescent="0.25">
      <c r="A287" s="60" t="s">
        <v>925</v>
      </c>
      <c r="B287" s="65" t="s">
        <v>298</v>
      </c>
      <c r="C287" s="62">
        <v>2010</v>
      </c>
      <c r="D287" s="1">
        <f>Q287+G287+F287+H287+E287</f>
        <v>0</v>
      </c>
      <c r="E287" s="177">
        <f>0</f>
        <v>0</v>
      </c>
      <c r="F287" s="177"/>
      <c r="G287" s="177"/>
      <c r="H287" s="120"/>
      <c r="I287" s="22"/>
      <c r="J287" s="177"/>
      <c r="K287" s="177"/>
      <c r="L287" s="177"/>
      <c r="M287" s="177"/>
      <c r="N287" s="177"/>
      <c r="O287" s="120"/>
      <c r="P287" s="96"/>
      <c r="Q287" s="97"/>
      <c r="R287" s="22"/>
      <c r="Z287" s="95"/>
      <c r="AA287" s="96"/>
      <c r="AB287" s="97"/>
    </row>
    <row r="288" spans="1:28" x14ac:dyDescent="0.25">
      <c r="A288" s="11" t="s">
        <v>787</v>
      </c>
      <c r="B288" s="71" t="s">
        <v>0</v>
      </c>
      <c r="C288" s="62">
        <v>2009</v>
      </c>
      <c r="D288" s="1">
        <f>Q288+G288+F288+H288+E288</f>
        <v>47</v>
      </c>
      <c r="E288" s="177">
        <f>21</f>
        <v>21</v>
      </c>
      <c r="F288" s="50"/>
      <c r="G288" s="50">
        <f>26</f>
        <v>26</v>
      </c>
      <c r="H288" s="120"/>
      <c r="I288" s="22"/>
      <c r="J288" s="50"/>
      <c r="K288" s="50"/>
      <c r="L288" s="50"/>
      <c r="M288" s="50"/>
      <c r="N288" s="50"/>
      <c r="O288" s="120"/>
      <c r="P288" s="96"/>
      <c r="Q288" s="97"/>
      <c r="R288" s="22"/>
      <c r="S288" s="50"/>
      <c r="T288" s="50"/>
      <c r="U288" s="50"/>
      <c r="V288" s="50"/>
      <c r="W288" s="50"/>
      <c r="X288" s="50"/>
      <c r="Y288" s="36"/>
      <c r="Z288" s="95"/>
      <c r="AA288" s="96"/>
      <c r="AB288" s="97"/>
    </row>
    <row r="289" spans="1:28" x14ac:dyDescent="0.25">
      <c r="A289" s="11" t="s">
        <v>788</v>
      </c>
      <c r="B289" s="71" t="s">
        <v>637</v>
      </c>
      <c r="C289" s="62">
        <v>2011</v>
      </c>
      <c r="D289" s="1">
        <f>Q289+G289+F289+H289+E289</f>
        <v>40</v>
      </c>
      <c r="E289" s="177"/>
      <c r="F289" s="50">
        <f>6+5</f>
        <v>11</v>
      </c>
      <c r="G289" s="50">
        <f>25+4</f>
        <v>29</v>
      </c>
      <c r="H289" s="120"/>
      <c r="I289" s="22"/>
      <c r="J289" s="50"/>
      <c r="K289" s="50"/>
      <c r="L289" s="50"/>
      <c r="M289" s="50"/>
      <c r="N289" s="50"/>
      <c r="O289" s="120"/>
      <c r="P289" s="96"/>
      <c r="Q289" s="97"/>
      <c r="R289" s="22"/>
      <c r="S289" s="50"/>
      <c r="T289" s="50"/>
      <c r="U289" s="50"/>
      <c r="V289" s="50"/>
      <c r="W289" s="50"/>
      <c r="X289" s="50"/>
      <c r="Y289" s="36"/>
      <c r="Z289" s="95"/>
      <c r="AA289" s="96"/>
      <c r="AB289" s="97"/>
    </row>
    <row r="290" spans="1:28" x14ac:dyDescent="0.25">
      <c r="A290" s="11" t="s">
        <v>759</v>
      </c>
      <c r="B290" s="60" t="s">
        <v>63</v>
      </c>
      <c r="C290" s="62">
        <v>2010</v>
      </c>
      <c r="D290" s="1">
        <f>Q290+G290+F290+H290+E290</f>
        <v>9</v>
      </c>
      <c r="E290" s="177">
        <f>2</f>
        <v>2</v>
      </c>
      <c r="F290" s="50">
        <f>4</f>
        <v>4</v>
      </c>
      <c r="G290" s="50">
        <f>0+3</f>
        <v>3</v>
      </c>
      <c r="H290" s="120"/>
      <c r="I290" s="22"/>
      <c r="J290" s="50">
        <f>0</f>
        <v>0</v>
      </c>
      <c r="K290" s="50"/>
      <c r="L290" s="50"/>
      <c r="M290" s="50"/>
      <c r="N290" s="50"/>
      <c r="O290" s="120"/>
      <c r="P290" s="96">
        <f>SUM(J290:N290)</f>
        <v>0</v>
      </c>
      <c r="Q290" s="97">
        <f>IF(C290=2011, P290/3,P290)+O290</f>
        <v>0</v>
      </c>
      <c r="R290" s="22"/>
      <c r="S290" s="41"/>
      <c r="T290" s="41"/>
      <c r="U290" s="41"/>
      <c r="V290" s="41"/>
      <c r="W290" s="41"/>
      <c r="X290" s="41"/>
      <c r="Z290" s="95"/>
      <c r="AA290" s="96"/>
      <c r="AB290" s="97"/>
    </row>
    <row r="291" spans="1:28" x14ac:dyDescent="0.25">
      <c r="A291" s="11" t="s">
        <v>750</v>
      </c>
      <c r="B291" s="60" t="s">
        <v>233</v>
      </c>
      <c r="C291" s="62">
        <v>2009</v>
      </c>
      <c r="D291" s="1">
        <f>Q291+G291+F291+H291+E291</f>
        <v>10</v>
      </c>
      <c r="E291" s="177"/>
      <c r="F291" s="50"/>
      <c r="G291" s="50"/>
      <c r="H291" s="120"/>
      <c r="I291" s="22"/>
      <c r="J291" s="50">
        <f>10</f>
        <v>10</v>
      </c>
      <c r="K291" s="50"/>
      <c r="L291" s="50"/>
      <c r="M291" s="50"/>
      <c r="N291" s="50"/>
      <c r="O291" s="120"/>
      <c r="P291" s="96">
        <f>SUM(J291:N291)</f>
        <v>10</v>
      </c>
      <c r="Q291" s="97">
        <f>IF(C291=2011, P291/3,P291)+O291</f>
        <v>10</v>
      </c>
      <c r="R291" s="22"/>
      <c r="S291" s="41"/>
      <c r="T291" s="41"/>
      <c r="U291" s="41"/>
      <c r="V291" s="41"/>
      <c r="W291" s="41"/>
      <c r="X291" s="41"/>
      <c r="Z291" s="95"/>
      <c r="AA291" s="96"/>
      <c r="AB291" s="97"/>
    </row>
    <row r="292" spans="1:28" x14ac:dyDescent="0.25">
      <c r="A292" s="11" t="s">
        <v>815</v>
      </c>
      <c r="B292" s="60" t="s">
        <v>590</v>
      </c>
      <c r="C292" s="62">
        <v>2008</v>
      </c>
      <c r="D292" s="1">
        <f>Q292+G292+F292+H292+E292</f>
        <v>12</v>
      </c>
      <c r="E292" s="177"/>
      <c r="F292" s="50"/>
      <c r="G292" s="50">
        <f>12</f>
        <v>12</v>
      </c>
      <c r="H292" s="120"/>
      <c r="I292" s="22"/>
      <c r="J292" s="50"/>
      <c r="K292" s="50"/>
      <c r="L292" s="50"/>
      <c r="M292" s="50"/>
      <c r="N292" s="50"/>
      <c r="O292" s="120"/>
      <c r="P292" s="96"/>
      <c r="Q292" s="97"/>
      <c r="R292" s="22"/>
      <c r="S292" s="41"/>
      <c r="T292" s="41"/>
      <c r="U292" s="41"/>
      <c r="V292" s="41"/>
      <c r="W292" s="41"/>
      <c r="X292" s="41"/>
      <c r="Z292" s="95"/>
      <c r="AA292" s="96"/>
      <c r="AB292" s="97"/>
    </row>
    <row r="293" spans="1:28" x14ac:dyDescent="0.25">
      <c r="A293" s="11" t="s">
        <v>819</v>
      </c>
      <c r="B293" s="60" t="s">
        <v>590</v>
      </c>
      <c r="C293" s="62">
        <v>2008</v>
      </c>
      <c r="D293" s="1">
        <f>Q293+G293+F293+H293+E293</f>
        <v>12</v>
      </c>
      <c r="E293" s="177"/>
      <c r="F293" s="50"/>
      <c r="G293" s="50">
        <f>12</f>
        <v>12</v>
      </c>
      <c r="H293" s="120"/>
      <c r="I293" s="22"/>
      <c r="J293" s="50"/>
      <c r="K293" s="50"/>
      <c r="L293" s="50"/>
      <c r="M293" s="50"/>
      <c r="N293" s="50"/>
      <c r="O293" s="120"/>
      <c r="P293" s="96"/>
      <c r="Q293" s="97"/>
      <c r="R293" s="22"/>
      <c r="S293" s="41"/>
      <c r="T293" s="41"/>
      <c r="U293" s="41"/>
      <c r="V293" s="41"/>
      <c r="W293" s="41"/>
      <c r="X293" s="41"/>
      <c r="Z293" s="95"/>
      <c r="AA293" s="96"/>
      <c r="AB293" s="97"/>
    </row>
    <row r="294" spans="1:28" x14ac:dyDescent="0.25">
      <c r="A294" s="11" t="s">
        <v>921</v>
      </c>
      <c r="B294" s="60" t="s">
        <v>63</v>
      </c>
      <c r="C294" s="62">
        <v>2008</v>
      </c>
      <c r="D294" s="1">
        <f>Q294+G294+F294+H294+E294</f>
        <v>0</v>
      </c>
      <c r="E294" s="177">
        <f>0</f>
        <v>0</v>
      </c>
      <c r="F294" s="177"/>
      <c r="G294" s="177"/>
      <c r="H294" s="120"/>
      <c r="I294" s="22"/>
      <c r="J294" s="177"/>
      <c r="K294" s="177"/>
      <c r="L294" s="177"/>
      <c r="M294" s="177"/>
      <c r="N294" s="177"/>
      <c r="O294" s="120"/>
      <c r="P294" s="96"/>
      <c r="Q294" s="97"/>
      <c r="R294" s="22"/>
      <c r="S294" s="41"/>
      <c r="T294" s="41"/>
      <c r="U294" s="41"/>
      <c r="V294" s="41"/>
      <c r="W294" s="41"/>
      <c r="X294" s="41"/>
      <c r="Z294" s="95"/>
      <c r="AA294" s="96"/>
      <c r="AB294" s="97"/>
    </row>
    <row r="295" spans="1:28" x14ac:dyDescent="0.25">
      <c r="A295" s="60" t="s">
        <v>760</v>
      </c>
      <c r="B295" s="65" t="s">
        <v>63</v>
      </c>
      <c r="C295" s="62">
        <v>2010</v>
      </c>
      <c r="D295" s="1">
        <f>Q295+G295+F295+H295+E295</f>
        <v>23</v>
      </c>
      <c r="E295" s="177">
        <f>10+2</f>
        <v>12</v>
      </c>
      <c r="F295" s="50"/>
      <c r="G295" s="50">
        <f>8+3</f>
        <v>11</v>
      </c>
      <c r="H295" s="120"/>
      <c r="I295" s="22"/>
      <c r="J295" s="50">
        <f>0</f>
        <v>0</v>
      </c>
      <c r="K295" s="50"/>
      <c r="L295" s="50"/>
      <c r="M295" s="50"/>
      <c r="N295" s="50"/>
      <c r="O295" s="120"/>
      <c r="P295" s="96">
        <f>SUM(J295:N295)</f>
        <v>0</v>
      </c>
      <c r="Q295" s="97">
        <f>IF(C295=2011, P295/3,P295)+O295</f>
        <v>0</v>
      </c>
      <c r="R295" s="22"/>
      <c r="Z295" s="95"/>
      <c r="AA295" s="96"/>
      <c r="AB295" s="97"/>
    </row>
    <row r="296" spans="1:28" x14ac:dyDescent="0.25">
      <c r="A296" s="60" t="s">
        <v>821</v>
      </c>
      <c r="B296" s="65" t="s">
        <v>590</v>
      </c>
      <c r="C296" s="62">
        <v>2011</v>
      </c>
      <c r="D296" s="1">
        <f>Q296+G296+F296+H296+E296</f>
        <v>12</v>
      </c>
      <c r="E296" s="177"/>
      <c r="F296" s="50"/>
      <c r="G296" s="50">
        <f>12</f>
        <v>12</v>
      </c>
      <c r="H296" s="120"/>
      <c r="I296" s="22"/>
      <c r="J296" s="50"/>
      <c r="K296" s="50"/>
      <c r="L296" s="50"/>
      <c r="M296" s="50"/>
      <c r="N296" s="50"/>
      <c r="O296" s="120"/>
      <c r="P296" s="96"/>
      <c r="Q296" s="97"/>
      <c r="R296" s="22"/>
      <c r="Z296" s="95"/>
      <c r="AA296" s="96"/>
      <c r="AB296" s="97"/>
    </row>
    <row r="297" spans="1:28" x14ac:dyDescent="0.25">
      <c r="A297" s="60" t="s">
        <v>748</v>
      </c>
      <c r="B297" s="65" t="s">
        <v>63</v>
      </c>
      <c r="C297" s="62">
        <v>2009</v>
      </c>
      <c r="D297" s="1">
        <f>Q297+G297+F297+H297+E297</f>
        <v>109</v>
      </c>
      <c r="E297" s="177">
        <f>20+4+1+6</f>
        <v>31</v>
      </c>
      <c r="F297" s="50">
        <f>17+6</f>
        <v>23</v>
      </c>
      <c r="G297" s="50">
        <f>24+6+9</f>
        <v>39</v>
      </c>
      <c r="H297" s="120"/>
      <c r="I297" s="22"/>
      <c r="J297" s="50">
        <f>14+2</f>
        <v>16</v>
      </c>
      <c r="K297" s="50"/>
      <c r="L297" s="50"/>
      <c r="M297" s="50"/>
      <c r="N297" s="50"/>
      <c r="O297" s="120"/>
      <c r="P297" s="96">
        <f>SUM(J297:N297)</f>
        <v>16</v>
      </c>
      <c r="Q297" s="97">
        <f>IF(C297=2011, P297/3,P297)+O297</f>
        <v>16</v>
      </c>
      <c r="R297" s="22"/>
      <c r="Z297" s="95"/>
      <c r="AA297" s="96"/>
      <c r="AB297" s="97"/>
    </row>
    <row r="298" spans="1:28" x14ac:dyDescent="0.25">
      <c r="A298" s="60" t="s">
        <v>823</v>
      </c>
      <c r="B298" s="65" t="s">
        <v>590</v>
      </c>
      <c r="C298" s="62">
        <v>2011</v>
      </c>
      <c r="D298" s="1">
        <f>Q298+G298+F298+H298+E298</f>
        <v>12</v>
      </c>
      <c r="E298" s="177"/>
      <c r="F298" s="50"/>
      <c r="G298" s="50">
        <f>12</f>
        <v>12</v>
      </c>
      <c r="H298" s="120"/>
      <c r="I298" s="22"/>
      <c r="J298" s="50"/>
      <c r="K298" s="50"/>
      <c r="L298" s="50"/>
      <c r="M298" s="50"/>
      <c r="N298" s="50"/>
      <c r="O298" s="120"/>
      <c r="P298" s="96"/>
      <c r="Q298" s="97"/>
      <c r="R298" s="22"/>
      <c r="Z298" s="95"/>
      <c r="AA298" s="96"/>
      <c r="AB298" s="97"/>
    </row>
    <row r="299" spans="1:28" x14ac:dyDescent="0.25">
      <c r="A299" s="11" t="s">
        <v>757</v>
      </c>
      <c r="B299" s="60" t="s">
        <v>63</v>
      </c>
      <c r="C299" s="62">
        <v>2009</v>
      </c>
      <c r="D299" s="1">
        <f>Q299+G299+F299+H299+E299</f>
        <v>38</v>
      </c>
      <c r="E299" s="177">
        <f>4+1</f>
        <v>5</v>
      </c>
      <c r="F299" s="50">
        <f>13</f>
        <v>13</v>
      </c>
      <c r="G299" s="50">
        <f>12+6</f>
        <v>18</v>
      </c>
      <c r="H299" s="120"/>
      <c r="I299" s="22"/>
      <c r="J299" s="50">
        <f>0+2</f>
        <v>2</v>
      </c>
      <c r="K299" s="50"/>
      <c r="L299" s="50"/>
      <c r="M299" s="50"/>
      <c r="N299" s="50"/>
      <c r="O299" s="120"/>
      <c r="P299" s="96">
        <f>SUM(J299:N299)</f>
        <v>2</v>
      </c>
      <c r="Q299" s="97">
        <f>IF(C299=2011, P299/3,P299)+O299</f>
        <v>2</v>
      </c>
      <c r="R299" s="22"/>
      <c r="S299" s="41"/>
      <c r="T299" s="41"/>
      <c r="U299" s="41"/>
      <c r="V299" s="41"/>
      <c r="W299" s="41"/>
      <c r="X299" s="41"/>
      <c r="Z299" s="95"/>
      <c r="AA299" s="96"/>
      <c r="AB299" s="97"/>
    </row>
    <row r="300" spans="1:28" x14ac:dyDescent="0.25">
      <c r="A300" s="11" t="s">
        <v>923</v>
      </c>
      <c r="B300" s="60" t="s">
        <v>63</v>
      </c>
      <c r="C300" s="62">
        <v>2008</v>
      </c>
      <c r="D300" s="1">
        <f>Q300+G300+F300+H300+E300</f>
        <v>0</v>
      </c>
      <c r="E300" s="177">
        <f>0</f>
        <v>0</v>
      </c>
      <c r="F300" s="177"/>
      <c r="G300" s="177"/>
      <c r="H300" s="120"/>
      <c r="I300" s="22"/>
      <c r="J300" s="177"/>
      <c r="K300" s="177"/>
      <c r="L300" s="177"/>
      <c r="M300" s="177"/>
      <c r="N300" s="177"/>
      <c r="O300" s="120"/>
      <c r="P300" s="96"/>
      <c r="Q300" s="97"/>
      <c r="R300" s="22"/>
      <c r="S300" s="41"/>
      <c r="T300" s="41"/>
      <c r="U300" s="41"/>
      <c r="V300" s="41"/>
      <c r="W300" s="41"/>
      <c r="X300" s="41"/>
      <c r="Z300" s="95"/>
      <c r="AA300" s="96"/>
      <c r="AB300" s="97"/>
    </row>
    <row r="301" spans="1:28" x14ac:dyDescent="0.25">
      <c r="A301" s="11" t="s">
        <v>789</v>
      </c>
      <c r="B301" s="60" t="s">
        <v>298</v>
      </c>
      <c r="C301" s="62">
        <v>2011</v>
      </c>
      <c r="D301" s="1">
        <f>Q301+G301+F301+H301+E301</f>
        <v>57</v>
      </c>
      <c r="E301" s="177">
        <f>19</f>
        <v>19</v>
      </c>
      <c r="F301" s="50">
        <f>16</f>
        <v>16</v>
      </c>
      <c r="G301" s="50">
        <f>22</f>
        <v>22</v>
      </c>
      <c r="H301" s="120"/>
      <c r="I301" s="22"/>
      <c r="J301" s="50"/>
      <c r="K301" s="50"/>
      <c r="L301" s="50"/>
      <c r="M301" s="50"/>
      <c r="N301" s="50"/>
      <c r="O301" s="120"/>
      <c r="P301" s="96"/>
      <c r="Q301" s="97"/>
      <c r="R301" s="22"/>
      <c r="S301" s="41"/>
      <c r="T301" s="41"/>
      <c r="U301" s="41"/>
      <c r="V301" s="41"/>
      <c r="W301" s="41"/>
      <c r="X301" s="41"/>
      <c r="Z301" s="95"/>
      <c r="AA301" s="96"/>
      <c r="AB301" s="97"/>
    </row>
    <row r="302" spans="1:28" x14ac:dyDescent="0.25">
      <c r="A302" s="11" t="s">
        <v>918</v>
      </c>
      <c r="B302" s="60" t="s">
        <v>64</v>
      </c>
      <c r="C302" s="62"/>
      <c r="D302" s="1">
        <f>Q302+G302+F302+H302+E302</f>
        <v>16</v>
      </c>
      <c r="E302" s="177">
        <f>10+3+3</f>
        <v>16</v>
      </c>
      <c r="F302" s="177"/>
      <c r="G302" s="177"/>
      <c r="H302" s="120"/>
      <c r="I302" s="22"/>
      <c r="J302" s="177"/>
      <c r="K302" s="177"/>
      <c r="L302" s="177"/>
      <c r="M302" s="177"/>
      <c r="N302" s="177"/>
      <c r="O302" s="120"/>
      <c r="P302" s="96"/>
      <c r="Q302" s="97"/>
      <c r="R302" s="22"/>
      <c r="S302" s="41"/>
      <c r="T302" s="41"/>
      <c r="U302" s="41"/>
      <c r="V302" s="41"/>
      <c r="W302" s="41"/>
      <c r="X302" s="41"/>
      <c r="Z302" s="95"/>
      <c r="AA302" s="96"/>
      <c r="AB302" s="97"/>
    </row>
    <row r="303" spans="1:28" x14ac:dyDescent="0.25">
      <c r="A303" s="11" t="s">
        <v>867</v>
      </c>
      <c r="B303" s="60" t="s">
        <v>637</v>
      </c>
      <c r="C303" s="62">
        <v>2011</v>
      </c>
      <c r="D303" s="1">
        <f>Q303+G303+F303+H303+E303</f>
        <v>2</v>
      </c>
      <c r="E303" s="177"/>
      <c r="F303" s="50">
        <f>0+2</f>
        <v>2</v>
      </c>
      <c r="G303" s="50"/>
      <c r="H303" s="120"/>
      <c r="I303" s="22"/>
      <c r="J303" s="50"/>
      <c r="K303" s="50"/>
      <c r="L303" s="50"/>
      <c r="M303" s="50"/>
      <c r="N303" s="50"/>
      <c r="O303" s="120"/>
      <c r="P303" s="96"/>
      <c r="Q303" s="97"/>
      <c r="R303" s="22"/>
      <c r="S303" s="41"/>
      <c r="T303" s="41"/>
      <c r="U303" s="41"/>
      <c r="V303" s="41"/>
      <c r="W303" s="41"/>
      <c r="X303" s="41"/>
      <c r="Z303" s="95"/>
      <c r="AA303" s="96"/>
      <c r="AB303" s="97"/>
    </row>
    <row r="304" spans="1:28" x14ac:dyDescent="0.25">
      <c r="A304" s="11" t="s">
        <v>934</v>
      </c>
      <c r="B304" s="60" t="s">
        <v>64</v>
      </c>
      <c r="C304" s="62"/>
      <c r="D304" s="1">
        <f>Q304+G304+F304+H304+E304</f>
        <v>3</v>
      </c>
      <c r="E304" s="182">
        <f>3</f>
        <v>3</v>
      </c>
      <c r="F304" s="182"/>
      <c r="G304" s="182"/>
      <c r="H304" s="120"/>
      <c r="I304" s="22"/>
      <c r="J304" s="182"/>
      <c r="K304" s="182"/>
      <c r="L304" s="182"/>
      <c r="M304" s="182"/>
      <c r="N304" s="182"/>
      <c r="O304" s="120"/>
      <c r="P304" s="96"/>
      <c r="Q304" s="97"/>
      <c r="R304" s="22"/>
      <c r="S304" s="41"/>
      <c r="T304" s="41"/>
      <c r="U304" s="41"/>
      <c r="V304" s="41"/>
      <c r="W304" s="41"/>
      <c r="X304" s="41"/>
      <c r="Z304" s="95"/>
      <c r="AA304" s="96"/>
      <c r="AB304" s="97"/>
    </row>
    <row r="305" spans="1:28" x14ac:dyDescent="0.25">
      <c r="A305" s="60" t="s">
        <v>817</v>
      </c>
      <c r="B305" s="65" t="s">
        <v>590</v>
      </c>
      <c r="C305" s="62">
        <v>2008</v>
      </c>
      <c r="D305" s="1">
        <f>Q305+G305+F305+H305+E305</f>
        <v>12</v>
      </c>
      <c r="E305" s="177"/>
      <c r="F305" s="50"/>
      <c r="G305" s="50">
        <f>12</f>
        <v>12</v>
      </c>
      <c r="H305" s="120"/>
      <c r="I305" s="22"/>
      <c r="J305" s="50"/>
      <c r="K305" s="50"/>
      <c r="L305" s="50"/>
      <c r="M305" s="50"/>
      <c r="N305" s="50"/>
      <c r="O305" s="120"/>
      <c r="P305" s="96"/>
      <c r="Q305" s="97"/>
      <c r="R305" s="22"/>
      <c r="Z305" s="95"/>
      <c r="AA305" s="96"/>
      <c r="AB305" s="97"/>
    </row>
    <row r="306" spans="1:28" x14ac:dyDescent="0.25">
      <c r="A306" s="60" t="s">
        <v>813</v>
      </c>
      <c r="B306" s="65" t="s">
        <v>590</v>
      </c>
      <c r="C306" s="62">
        <v>2008</v>
      </c>
      <c r="D306" s="1">
        <f>Q306+G306+F306+H306+E306</f>
        <v>12</v>
      </c>
      <c r="E306" s="177"/>
      <c r="F306" s="50"/>
      <c r="G306" s="50">
        <f>12</f>
        <v>12</v>
      </c>
      <c r="H306" s="120"/>
      <c r="I306" s="22"/>
      <c r="J306" s="50"/>
      <c r="K306" s="50"/>
      <c r="L306" s="50"/>
      <c r="M306" s="50"/>
      <c r="N306" s="50"/>
      <c r="O306" s="120"/>
      <c r="P306" s="96"/>
      <c r="Q306" s="97"/>
      <c r="R306" s="22"/>
      <c r="Z306" s="95"/>
      <c r="AA306" s="96"/>
      <c r="AB306" s="97"/>
    </row>
    <row r="307" spans="1:28" x14ac:dyDescent="0.25">
      <c r="A307" s="11" t="s">
        <v>755</v>
      </c>
      <c r="B307" s="60" t="s">
        <v>63</v>
      </c>
      <c r="C307" s="62">
        <v>2010</v>
      </c>
      <c r="D307" s="1">
        <f>Q307+G307+F307+H307+E307</f>
        <v>5</v>
      </c>
      <c r="E307" s="177"/>
      <c r="F307" s="50"/>
      <c r="G307" s="50"/>
      <c r="H307" s="120"/>
      <c r="I307" s="22"/>
      <c r="J307" s="50">
        <f>5</f>
        <v>5</v>
      </c>
      <c r="K307" s="50"/>
      <c r="L307" s="50"/>
      <c r="M307" s="50"/>
      <c r="N307" s="50"/>
      <c r="O307" s="120"/>
      <c r="P307" s="96">
        <f>SUM(J307:N307)</f>
        <v>5</v>
      </c>
      <c r="Q307" s="97">
        <f>IF(C307=2011, P307/3,P307)+O307</f>
        <v>5</v>
      </c>
      <c r="R307" s="22"/>
      <c r="S307" s="41"/>
      <c r="T307" s="41"/>
      <c r="U307" s="41"/>
      <c r="V307" s="41"/>
      <c r="W307" s="41"/>
      <c r="X307" s="41"/>
      <c r="Z307" s="95"/>
      <c r="AA307" s="96"/>
      <c r="AB307" s="97"/>
    </row>
    <row r="308" spans="1:28" x14ac:dyDescent="0.25">
      <c r="A308" s="11" t="s">
        <v>814</v>
      </c>
      <c r="B308" s="60" t="s">
        <v>590</v>
      </c>
      <c r="C308" s="62">
        <v>2009</v>
      </c>
      <c r="D308" s="1">
        <f>Q308+G308+F308+H308+E308</f>
        <v>12</v>
      </c>
      <c r="E308" s="177"/>
      <c r="F308" s="50"/>
      <c r="G308" s="50">
        <f>12</f>
        <v>12</v>
      </c>
      <c r="H308" s="120"/>
      <c r="I308" s="22"/>
      <c r="J308" s="50"/>
      <c r="K308" s="50"/>
      <c r="L308" s="50"/>
      <c r="M308" s="50"/>
      <c r="N308" s="50"/>
      <c r="O308" s="120"/>
      <c r="P308" s="96"/>
      <c r="Q308" s="97"/>
      <c r="R308" s="22"/>
      <c r="S308" s="41"/>
      <c r="T308" s="41"/>
      <c r="U308" s="41"/>
      <c r="V308" s="41"/>
      <c r="W308" s="41"/>
      <c r="X308" s="41"/>
      <c r="Z308" s="95"/>
      <c r="AA308" s="96"/>
      <c r="AB308" s="97"/>
    </row>
    <row r="309" spans="1:28" x14ac:dyDescent="0.25">
      <c r="A309" s="11" t="s">
        <v>822</v>
      </c>
      <c r="B309" s="60" t="s">
        <v>590</v>
      </c>
      <c r="C309" s="62">
        <v>2010</v>
      </c>
      <c r="D309" s="1">
        <f>Q309+G309+F309+H309+E309</f>
        <v>12</v>
      </c>
      <c r="E309" s="177"/>
      <c r="F309" s="50"/>
      <c r="G309" s="50">
        <f>12</f>
        <v>12</v>
      </c>
      <c r="H309" s="120"/>
      <c r="I309" s="22"/>
      <c r="J309" s="50"/>
      <c r="K309" s="50"/>
      <c r="L309" s="50"/>
      <c r="M309" s="50"/>
      <c r="N309" s="50"/>
      <c r="O309" s="120"/>
      <c r="P309" s="96"/>
      <c r="Q309" s="97"/>
      <c r="R309" s="22"/>
      <c r="S309" s="41"/>
      <c r="T309" s="41"/>
      <c r="U309" s="41"/>
      <c r="V309" s="41"/>
      <c r="W309" s="41"/>
      <c r="X309" s="41"/>
      <c r="Z309" s="95"/>
      <c r="AA309" s="96"/>
      <c r="AB309" s="97"/>
    </row>
    <row r="310" spans="1:28" x14ac:dyDescent="0.25">
      <c r="A310" s="53" t="s">
        <v>797</v>
      </c>
      <c r="B310" s="84" t="s">
        <v>298</v>
      </c>
      <c r="C310" s="54">
        <v>2009</v>
      </c>
      <c r="D310" s="1">
        <f>Q310+G310+F310+H310+E310</f>
        <v>0</v>
      </c>
      <c r="E310" s="177"/>
      <c r="F310" s="177"/>
      <c r="G310" s="177">
        <f>0</f>
        <v>0</v>
      </c>
      <c r="H310" s="120"/>
      <c r="I310" s="22"/>
      <c r="J310" s="177"/>
      <c r="K310" s="177"/>
      <c r="L310" s="177"/>
      <c r="M310" s="177"/>
      <c r="N310" s="177"/>
      <c r="O310" s="120"/>
      <c r="P310" s="96"/>
      <c r="Q310" s="97"/>
      <c r="R310" s="22"/>
      <c r="S310" s="41"/>
      <c r="T310" s="41"/>
      <c r="U310" s="41"/>
      <c r="V310" s="41"/>
      <c r="W310" s="41"/>
      <c r="X310" s="41"/>
      <c r="Y310" s="41"/>
      <c r="Z310" s="95"/>
      <c r="AA310" s="96"/>
      <c r="AB310" s="97"/>
    </row>
    <row r="311" spans="1:28" x14ac:dyDescent="0.25">
      <c r="A311" s="11" t="s">
        <v>927</v>
      </c>
      <c r="B311" s="60" t="s">
        <v>64</v>
      </c>
      <c r="C311" s="62"/>
      <c r="D311" s="1">
        <f>Q311+G311+F311+H311+E311</f>
        <v>3</v>
      </c>
      <c r="E311" s="177">
        <f>3</f>
        <v>3</v>
      </c>
      <c r="F311" s="50"/>
      <c r="G311" s="50"/>
      <c r="H311" s="120"/>
      <c r="I311" s="22"/>
      <c r="J311" s="50"/>
      <c r="K311" s="50"/>
      <c r="L311" s="50"/>
      <c r="M311" s="50"/>
      <c r="N311" s="50"/>
      <c r="O311" s="120"/>
      <c r="P311" s="96"/>
      <c r="Q311" s="97"/>
      <c r="R311" s="22"/>
      <c r="S311" s="41"/>
      <c r="T311" s="41"/>
      <c r="U311" s="41"/>
      <c r="V311" s="41"/>
      <c r="W311" s="41"/>
      <c r="X311" s="41"/>
      <c r="Z311" s="95"/>
      <c r="AA311" s="96"/>
      <c r="AB311" s="97"/>
    </row>
    <row r="312" spans="1:28" x14ac:dyDescent="0.25">
      <c r="A312" s="11" t="s">
        <v>796</v>
      </c>
      <c r="B312" s="60" t="s">
        <v>637</v>
      </c>
      <c r="C312" s="62">
        <v>2011</v>
      </c>
      <c r="D312" s="1">
        <f>Q312+G312+F312+H312+E312</f>
        <v>13</v>
      </c>
      <c r="E312" s="177"/>
      <c r="F312" s="50">
        <f>0+3</f>
        <v>3</v>
      </c>
      <c r="G312" s="50">
        <f>8+2</f>
        <v>10</v>
      </c>
      <c r="H312" s="120"/>
      <c r="I312" s="22"/>
      <c r="J312" s="50"/>
      <c r="K312" s="50"/>
      <c r="L312" s="50"/>
      <c r="M312" s="50"/>
      <c r="N312" s="50"/>
      <c r="O312" s="120"/>
      <c r="P312" s="96"/>
      <c r="Q312" s="97"/>
      <c r="R312" s="22"/>
      <c r="S312" s="41"/>
      <c r="T312" s="41"/>
      <c r="U312" s="41"/>
      <c r="V312" s="41"/>
      <c r="W312" s="41"/>
      <c r="X312" s="41"/>
      <c r="Z312" s="95"/>
      <c r="AA312" s="96"/>
      <c r="AB312" s="97"/>
    </row>
    <row r="313" spans="1:28" x14ac:dyDescent="0.25">
      <c r="A313" s="11" t="s">
        <v>800</v>
      </c>
      <c r="B313" s="60" t="s">
        <v>637</v>
      </c>
      <c r="C313" s="62">
        <v>2009</v>
      </c>
      <c r="D313" s="1">
        <f>Q313+G313+F313+H313+E313</f>
        <v>42</v>
      </c>
      <c r="E313" s="177"/>
      <c r="F313" s="50">
        <f>24</f>
        <v>24</v>
      </c>
      <c r="G313" s="50">
        <f>18</f>
        <v>18</v>
      </c>
      <c r="H313" s="120"/>
      <c r="I313" s="22"/>
      <c r="J313" s="50"/>
      <c r="K313" s="50"/>
      <c r="L313" s="50"/>
      <c r="M313" s="50"/>
      <c r="N313" s="50"/>
      <c r="O313" s="120"/>
      <c r="P313" s="96"/>
      <c r="Q313" s="97"/>
      <c r="R313" s="22"/>
      <c r="S313" s="41"/>
      <c r="T313" s="41"/>
      <c r="U313" s="41"/>
      <c r="V313" s="41"/>
      <c r="W313" s="41"/>
      <c r="X313" s="41"/>
      <c r="Z313" s="95"/>
      <c r="AA313" s="96"/>
      <c r="AB313" s="97"/>
    </row>
    <row r="314" spans="1:28" x14ac:dyDescent="0.25">
      <c r="A314" s="11" t="s">
        <v>866</v>
      </c>
      <c r="B314" s="60" t="s">
        <v>637</v>
      </c>
      <c r="C314" s="62">
        <v>2011</v>
      </c>
      <c r="D314" s="1">
        <f>Q314+G314+F314+H314+E314</f>
        <v>4</v>
      </c>
      <c r="E314" s="177"/>
      <c r="F314" s="50">
        <f>4</f>
        <v>4</v>
      </c>
      <c r="G314" s="50"/>
      <c r="H314" s="120"/>
      <c r="I314" s="22"/>
      <c r="J314" s="50"/>
      <c r="K314" s="50"/>
      <c r="L314" s="50"/>
      <c r="M314" s="50"/>
      <c r="N314" s="50"/>
      <c r="O314" s="120"/>
      <c r="P314" s="96"/>
      <c r="Q314" s="97"/>
      <c r="R314" s="22"/>
      <c r="S314" s="41"/>
      <c r="T314" s="41"/>
      <c r="U314" s="41"/>
      <c r="V314" s="41"/>
      <c r="W314" s="41"/>
      <c r="X314" s="41"/>
      <c r="Z314" s="95"/>
      <c r="AA314" s="96"/>
      <c r="AB314" s="97"/>
    </row>
    <row r="315" spans="1:28" x14ac:dyDescent="0.25">
      <c r="A315" s="53" t="s">
        <v>793</v>
      </c>
      <c r="B315" s="84" t="s">
        <v>637</v>
      </c>
      <c r="C315" s="54">
        <v>2008</v>
      </c>
      <c r="D315" s="1">
        <f>Q315+G315+F315+H315+E315</f>
        <v>16</v>
      </c>
      <c r="E315" s="177"/>
      <c r="F315" s="177"/>
      <c r="G315" s="177">
        <f>16</f>
        <v>16</v>
      </c>
      <c r="H315" s="120"/>
      <c r="I315" s="22"/>
      <c r="J315" s="177"/>
      <c r="K315" s="177"/>
      <c r="L315" s="177"/>
      <c r="M315" s="177"/>
      <c r="N315" s="177"/>
      <c r="O315" s="120"/>
      <c r="P315" s="96"/>
      <c r="Q315" s="97"/>
      <c r="R315" s="22"/>
      <c r="S315" s="41"/>
      <c r="T315" s="41"/>
      <c r="U315" s="41"/>
      <c r="V315" s="41"/>
      <c r="W315" s="41"/>
      <c r="X315" s="41"/>
      <c r="Y315" s="41"/>
      <c r="Z315" s="95"/>
      <c r="AA315" s="96"/>
      <c r="AB315" s="97"/>
    </row>
    <row r="316" spans="1:28" ht="16.5" customHeight="1" x14ac:dyDescent="0.25">
      <c r="A316" s="60" t="s">
        <v>754</v>
      </c>
      <c r="B316" s="65" t="s">
        <v>63</v>
      </c>
      <c r="C316" s="62">
        <v>2010</v>
      </c>
      <c r="D316" s="1">
        <f>Q316+G316+F316+H316+E316</f>
        <v>40</v>
      </c>
      <c r="E316" s="177">
        <f>5+1</f>
        <v>6</v>
      </c>
      <c r="F316" s="50">
        <f>15+6</f>
        <v>21</v>
      </c>
      <c r="G316" s="50">
        <f>0+5</f>
        <v>5</v>
      </c>
      <c r="H316" s="120"/>
      <c r="I316" s="22"/>
      <c r="J316" s="50">
        <f>5+3</f>
        <v>8</v>
      </c>
      <c r="K316" s="50"/>
      <c r="L316" s="50"/>
      <c r="M316" s="50"/>
      <c r="N316" s="50"/>
      <c r="O316" s="120"/>
      <c r="P316" s="96">
        <f>SUM(J316:N316)</f>
        <v>8</v>
      </c>
      <c r="Q316" s="97">
        <f>IF(C316=2011, P316/3,P316)+O316</f>
        <v>8</v>
      </c>
      <c r="R316" s="22"/>
      <c r="Z316" s="95"/>
      <c r="AA316" s="96"/>
      <c r="AB316" s="97"/>
    </row>
    <row r="317" spans="1:28" ht="16.5" customHeight="1" x14ac:dyDescent="0.25">
      <c r="A317" s="60" t="s">
        <v>917</v>
      </c>
      <c r="B317" s="65" t="s">
        <v>64</v>
      </c>
      <c r="C317" s="62"/>
      <c r="D317" s="1">
        <f>Q317+G317+F317+H317+E317</f>
        <v>13</v>
      </c>
      <c r="E317" s="177">
        <f>10+3</f>
        <v>13</v>
      </c>
      <c r="F317" s="50"/>
      <c r="G317" s="50"/>
      <c r="H317" s="120"/>
      <c r="I317" s="22"/>
      <c r="J317" s="50"/>
      <c r="K317" s="50"/>
      <c r="L317" s="50"/>
      <c r="M317" s="50"/>
      <c r="N317" s="50"/>
      <c r="O317" s="120"/>
      <c r="P317" s="96"/>
      <c r="Q317" s="97"/>
      <c r="R317" s="22"/>
      <c r="Z317" s="95"/>
      <c r="AA317" s="96"/>
      <c r="AB317" s="97"/>
    </row>
    <row r="318" spans="1:28" ht="16.5" customHeight="1" x14ac:dyDescent="0.25">
      <c r="A318" s="53" t="s">
        <v>747</v>
      </c>
      <c r="B318" s="84" t="s">
        <v>63</v>
      </c>
      <c r="C318" s="54">
        <v>2010</v>
      </c>
      <c r="D318" s="1">
        <f>Q318+G318+F318+H318+E318</f>
        <v>102</v>
      </c>
      <c r="E318" s="177">
        <f>32+3+6+6</f>
        <v>47</v>
      </c>
      <c r="F318" s="50">
        <f>0+8+3+6</f>
        <v>17</v>
      </c>
      <c r="G318" s="50">
        <f>0+4+9</f>
        <v>13</v>
      </c>
      <c r="H318" s="120"/>
      <c r="I318" s="22"/>
      <c r="J318" s="50">
        <f>15+10</f>
        <v>25</v>
      </c>
      <c r="K318" s="50"/>
      <c r="L318" s="50"/>
      <c r="M318" s="50"/>
      <c r="N318" s="50"/>
      <c r="O318" s="120"/>
      <c r="P318" s="96">
        <f>SUM(J318:N318)</f>
        <v>25</v>
      </c>
      <c r="Q318" s="97">
        <f>IF(C318=2011, P318/3,P318)+O318</f>
        <v>25</v>
      </c>
      <c r="R318" s="22"/>
      <c r="S318" s="41"/>
      <c r="T318" s="41"/>
      <c r="U318" s="41"/>
      <c r="V318" s="41"/>
      <c r="W318" s="41"/>
      <c r="X318" s="41"/>
      <c r="Y318" s="41"/>
      <c r="Z318" s="95"/>
      <c r="AA318" s="96"/>
      <c r="AB318" s="97"/>
    </row>
    <row r="319" spans="1:28" x14ac:dyDescent="0.25">
      <c r="A319" s="53" t="s">
        <v>919</v>
      </c>
      <c r="B319" s="84" t="s">
        <v>63</v>
      </c>
      <c r="C319" s="54">
        <v>2009</v>
      </c>
      <c r="D319" s="1">
        <f>Q319+G319+F319+H319+E319</f>
        <v>10</v>
      </c>
      <c r="E319" s="177">
        <f>10</f>
        <v>10</v>
      </c>
      <c r="F319" s="50"/>
      <c r="G319" s="50"/>
      <c r="H319" s="120"/>
      <c r="I319" s="22"/>
      <c r="J319" s="50"/>
      <c r="K319" s="50"/>
      <c r="L319" s="50"/>
      <c r="M319" s="50"/>
      <c r="N319" s="50"/>
      <c r="O319" s="120"/>
      <c r="P319" s="96"/>
      <c r="Q319" s="97"/>
      <c r="R319" s="22"/>
      <c r="S319" s="41"/>
      <c r="T319" s="41"/>
      <c r="U319" s="41"/>
      <c r="V319" s="41"/>
      <c r="W319" s="41"/>
      <c r="X319" s="41"/>
      <c r="Y319" s="41"/>
      <c r="Z319" s="95"/>
      <c r="AA319" s="96"/>
      <c r="AB319" s="97"/>
    </row>
    <row r="320" spans="1:28" x14ac:dyDescent="0.25">
      <c r="A320" s="53" t="s">
        <v>920</v>
      </c>
      <c r="B320" s="84" t="s">
        <v>64</v>
      </c>
      <c r="C320" s="54"/>
      <c r="D320" s="1">
        <f>Q320+G320+F320+H320+E320</f>
        <v>3</v>
      </c>
      <c r="E320" s="177">
        <f>0+3</f>
        <v>3</v>
      </c>
      <c r="F320" s="177"/>
      <c r="G320" s="177"/>
      <c r="H320" s="120"/>
      <c r="I320" s="22"/>
      <c r="J320" s="177"/>
      <c r="K320" s="177"/>
      <c r="L320" s="177"/>
      <c r="M320" s="177"/>
      <c r="N320" s="177"/>
      <c r="O320" s="120"/>
      <c r="P320" s="96"/>
      <c r="Q320" s="97"/>
      <c r="R320" s="22"/>
      <c r="S320" s="41"/>
      <c r="T320" s="41"/>
      <c r="U320" s="41"/>
      <c r="V320" s="41"/>
      <c r="W320" s="41"/>
      <c r="X320" s="41"/>
      <c r="Y320" s="41"/>
      <c r="Z320" s="95"/>
      <c r="AA320" s="96"/>
      <c r="AB320" s="97"/>
    </row>
    <row r="321" spans="1:28" x14ac:dyDescent="0.25">
      <c r="A321" s="53" t="s">
        <v>924</v>
      </c>
      <c r="B321" s="84" t="s">
        <v>64</v>
      </c>
      <c r="C321" s="54"/>
      <c r="D321" s="1">
        <f>Q321+G321+F321+H321+E321</f>
        <v>6</v>
      </c>
      <c r="E321" s="177">
        <f>0+3+3</f>
        <v>6</v>
      </c>
      <c r="F321" s="177"/>
      <c r="G321" s="177"/>
      <c r="H321" s="120"/>
      <c r="I321" s="22"/>
      <c r="J321" s="177"/>
      <c r="K321" s="177"/>
      <c r="L321" s="177"/>
      <c r="M321" s="177"/>
      <c r="N321" s="177"/>
      <c r="O321" s="120"/>
      <c r="P321" s="96"/>
      <c r="Q321" s="97"/>
      <c r="R321" s="22"/>
      <c r="S321" s="41"/>
      <c r="T321" s="41"/>
      <c r="U321" s="41"/>
      <c r="V321" s="41"/>
      <c r="W321" s="41"/>
      <c r="X321" s="41"/>
      <c r="Y321" s="41"/>
      <c r="Z321" s="95"/>
      <c r="AA321" s="96"/>
      <c r="AB321" s="97"/>
    </row>
    <row r="322" spans="1:28" x14ac:dyDescent="0.25">
      <c r="A322" s="11" t="s">
        <v>758</v>
      </c>
      <c r="B322" s="11" t="s">
        <v>63</v>
      </c>
      <c r="C322" s="3">
        <v>2008</v>
      </c>
      <c r="D322" s="1">
        <f>Q322+G322+F322+H322+E322</f>
        <v>1</v>
      </c>
      <c r="E322" s="177"/>
      <c r="F322" s="177"/>
      <c r="G322" s="177">
        <f>0</f>
        <v>0</v>
      </c>
      <c r="H322" s="120"/>
      <c r="I322" s="22"/>
      <c r="J322" s="177">
        <f>0+1</f>
        <v>1</v>
      </c>
      <c r="K322" s="177"/>
      <c r="L322" s="177"/>
      <c r="M322" s="177"/>
      <c r="N322" s="177"/>
      <c r="O322" s="120"/>
      <c r="P322" s="96">
        <f>SUM(J322:N322)</f>
        <v>1</v>
      </c>
      <c r="Q322" s="97">
        <f>IF(C322=2011, P322/3,P322)+O322</f>
        <v>1</v>
      </c>
      <c r="R322" s="22"/>
      <c r="S322" s="182"/>
      <c r="T322" s="182"/>
      <c r="U322" s="182"/>
      <c r="V322" s="182"/>
      <c r="W322" s="182"/>
      <c r="X322" s="182"/>
      <c r="Y322" s="36"/>
      <c r="Z322" s="95"/>
      <c r="AA322" s="96"/>
      <c r="AB322" s="97"/>
    </row>
    <row r="323" spans="1:28" x14ac:dyDescent="0.25">
      <c r="A323" s="11" t="s">
        <v>812</v>
      </c>
      <c r="B323" s="11" t="s">
        <v>590</v>
      </c>
      <c r="C323" s="3">
        <v>2009</v>
      </c>
      <c r="D323" s="1">
        <f>Q323+G323+F323+H323+E323</f>
        <v>3</v>
      </c>
      <c r="E323" s="177"/>
      <c r="F323" s="50"/>
      <c r="G323" s="50">
        <f>3</f>
        <v>3</v>
      </c>
      <c r="H323" s="120"/>
      <c r="I323" s="22"/>
      <c r="J323" s="50"/>
      <c r="K323" s="50"/>
      <c r="L323" s="50"/>
      <c r="M323" s="50"/>
      <c r="N323" s="50"/>
      <c r="O323" s="120"/>
      <c r="P323" s="96"/>
      <c r="Q323" s="97"/>
      <c r="R323" s="22"/>
      <c r="S323" s="50"/>
      <c r="T323" s="50"/>
      <c r="U323" s="50"/>
      <c r="V323" s="50"/>
      <c r="W323" s="50"/>
      <c r="X323" s="50"/>
      <c r="Y323" s="36"/>
      <c r="Z323" s="95"/>
      <c r="AA323" s="96"/>
      <c r="AB323" s="97"/>
    </row>
    <row r="324" spans="1:28" x14ac:dyDescent="0.25">
      <c r="A324" s="53" t="s">
        <v>827</v>
      </c>
      <c r="B324" s="84" t="s">
        <v>590</v>
      </c>
      <c r="C324" s="54">
        <v>2011</v>
      </c>
      <c r="D324" s="1">
        <f>Q324+G324+F324+H324+E324</f>
        <v>3</v>
      </c>
      <c r="E324" s="177"/>
      <c r="F324" s="50"/>
      <c r="G324" s="50">
        <f>3</f>
        <v>3</v>
      </c>
      <c r="H324" s="120"/>
      <c r="I324" s="22"/>
      <c r="J324" s="50"/>
      <c r="K324" s="50"/>
      <c r="L324" s="50"/>
      <c r="M324" s="50"/>
      <c r="N324" s="50"/>
      <c r="O324" s="120"/>
      <c r="P324" s="96"/>
      <c r="Q324" s="97"/>
      <c r="R324" s="22"/>
      <c r="S324" s="41"/>
      <c r="T324" s="41"/>
      <c r="U324" s="41"/>
      <c r="V324" s="41"/>
      <c r="W324" s="41"/>
      <c r="X324" s="41"/>
      <c r="Y324" s="41"/>
      <c r="Z324" s="95"/>
      <c r="AA324" s="96"/>
      <c r="AB324" s="97"/>
    </row>
    <row r="325" spans="1:28" x14ac:dyDescent="0.25">
      <c r="A325" s="60" t="s">
        <v>803</v>
      </c>
      <c r="B325" s="65" t="s">
        <v>64</v>
      </c>
      <c r="C325" s="62">
        <v>2009</v>
      </c>
      <c r="D325" s="1">
        <f>Q325+G325+F325+H325+E325</f>
        <v>36</v>
      </c>
      <c r="E325" s="177">
        <f>0+3</f>
        <v>3</v>
      </c>
      <c r="F325" s="50">
        <f>24+3</f>
        <v>27</v>
      </c>
      <c r="G325" s="50">
        <f>0</f>
        <v>0</v>
      </c>
      <c r="H325" s="120">
        <f>6</f>
        <v>6</v>
      </c>
      <c r="I325" s="22"/>
      <c r="J325" s="50"/>
      <c r="K325" s="50"/>
      <c r="L325" s="50"/>
      <c r="M325" s="50"/>
      <c r="N325" s="50"/>
      <c r="O325" s="120"/>
      <c r="P325" s="96"/>
      <c r="Q325" s="97"/>
      <c r="R325" s="22"/>
      <c r="Z325" s="95"/>
      <c r="AA325" s="96"/>
      <c r="AB325" s="97"/>
    </row>
    <row r="326" spans="1:28" x14ac:dyDescent="0.25">
      <c r="A326" s="60" t="s">
        <v>931</v>
      </c>
      <c r="B326" s="65" t="s">
        <v>64</v>
      </c>
      <c r="C326" s="62"/>
      <c r="D326" s="1">
        <f>Q326+G326+F326+H326+E326</f>
        <v>3</v>
      </c>
      <c r="E326" s="182">
        <f>3</f>
        <v>3</v>
      </c>
      <c r="F326" s="182"/>
      <c r="G326" s="182"/>
      <c r="H326" s="120"/>
      <c r="I326" s="22"/>
      <c r="J326" s="182"/>
      <c r="K326" s="182"/>
      <c r="L326" s="182"/>
      <c r="M326" s="182"/>
      <c r="N326" s="182"/>
      <c r="O326" s="120"/>
      <c r="P326" s="96"/>
      <c r="Q326" s="97"/>
      <c r="R326" s="22"/>
      <c r="Z326" s="95"/>
      <c r="AA326" s="96"/>
      <c r="AB326" s="97"/>
    </row>
    <row r="327" spans="1:28" x14ac:dyDescent="0.25">
      <c r="A327" s="11" t="s">
        <v>791</v>
      </c>
      <c r="B327" s="87" t="s">
        <v>64</v>
      </c>
      <c r="C327" s="3">
        <v>2009</v>
      </c>
      <c r="D327" s="1">
        <f>Q327+G327+F327+H327+E327</f>
        <v>32</v>
      </c>
      <c r="E327" s="160">
        <f>10+3+3</f>
        <v>16</v>
      </c>
      <c r="G327" s="160">
        <f>16</f>
        <v>16</v>
      </c>
      <c r="H327" s="120"/>
    </row>
  </sheetData>
  <autoFilter ref="B1:B328" xr:uid="{00000000-0001-0000-0300-000000000000}"/>
  <sortState xmlns:xlrd2="http://schemas.microsoft.com/office/spreadsheetml/2017/richdata2" ref="A6:AU21">
    <sortCondition ref="A6:A21"/>
  </sortState>
  <mergeCells count="7">
    <mergeCell ref="A260:C260"/>
    <mergeCell ref="A5:C5"/>
    <mergeCell ref="A22:C22"/>
    <mergeCell ref="A1:C2"/>
    <mergeCell ref="S3:Y3"/>
    <mergeCell ref="J3:N3"/>
    <mergeCell ref="F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31"/>
  <sheetViews>
    <sheetView zoomScale="106" zoomScaleNormal="106" workbookViewId="0">
      <pane xSplit="4" ySplit="4" topLeftCell="E5" activePane="bottomRight" state="frozen"/>
      <selection pane="topRight" activeCell="E1" sqref="E1"/>
      <selection pane="bottomLeft" activeCell="A3" sqref="A3"/>
      <selection pane="bottomRight" activeCell="I14" sqref="I14"/>
    </sheetView>
  </sheetViews>
  <sheetFormatPr defaultRowHeight="15" x14ac:dyDescent="0.25"/>
  <cols>
    <col min="1" max="1" width="19.7109375" style="11" bestFit="1" customWidth="1"/>
    <col min="2" max="2" width="19.42578125" style="3" bestFit="1" customWidth="1"/>
    <col min="3" max="3" width="8.140625" style="3" bestFit="1" customWidth="1"/>
    <col min="4" max="4" width="12.140625" style="7" customWidth="1"/>
    <col min="5" max="7" width="12.42578125" style="13" customWidth="1"/>
    <col min="8" max="8" width="10.28515625" style="13" customWidth="1"/>
    <col min="9" max="9" width="3.42578125" style="13" customWidth="1"/>
    <col min="10" max="10" width="12.42578125" style="13" customWidth="1"/>
    <col min="11" max="15" width="10.28515625" style="13" customWidth="1"/>
    <col min="16" max="17" width="9.140625" style="3"/>
    <col min="18" max="18" width="3.42578125" style="13" customWidth="1"/>
    <col min="19" max="19" width="8.85546875" style="13" customWidth="1"/>
    <col min="20" max="22" width="11.7109375" style="13" customWidth="1"/>
    <col min="23" max="23" width="12.5703125" style="13" customWidth="1"/>
    <col min="24" max="24" width="11.7109375" style="13" customWidth="1"/>
    <col min="25" max="25" width="8.85546875" style="13" customWidth="1"/>
    <col min="26" max="26" width="10.85546875" style="3" customWidth="1"/>
    <col min="27" max="16384" width="9.140625" style="3"/>
  </cols>
  <sheetData>
    <row r="1" spans="1:28" ht="15" customHeight="1" x14ac:dyDescent="0.5">
      <c r="A1" s="192" t="s">
        <v>60</v>
      </c>
      <c r="B1" s="193"/>
      <c r="C1" s="193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R1" s="55"/>
      <c r="S1" s="55"/>
      <c r="T1" s="55"/>
      <c r="U1" s="55"/>
      <c r="V1" s="55"/>
      <c r="W1" s="55"/>
      <c r="X1" s="55"/>
      <c r="Y1" s="55"/>
    </row>
    <row r="2" spans="1:28" ht="15" customHeight="1" x14ac:dyDescent="0.5">
      <c r="A2" s="194"/>
      <c r="B2" s="195"/>
      <c r="C2" s="19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R2" s="55"/>
      <c r="S2" s="55"/>
      <c r="T2" s="55"/>
      <c r="U2" s="55"/>
      <c r="V2" s="55"/>
      <c r="W2" s="55"/>
      <c r="X2" s="55"/>
      <c r="Y2" s="55"/>
    </row>
    <row r="3" spans="1:28" x14ac:dyDescent="0.25">
      <c r="D3" s="13"/>
      <c r="E3" s="178"/>
      <c r="F3" s="203">
        <v>2024</v>
      </c>
      <c r="G3" s="203"/>
      <c r="H3" s="148"/>
      <c r="I3" s="98"/>
      <c r="J3" s="203">
        <v>2023</v>
      </c>
      <c r="K3" s="203"/>
      <c r="L3" s="203"/>
      <c r="M3" s="203"/>
      <c r="N3" s="203"/>
      <c r="O3" s="204"/>
      <c r="R3" s="98"/>
      <c r="S3" s="202">
        <v>2022</v>
      </c>
      <c r="T3" s="203"/>
      <c r="U3" s="203"/>
      <c r="V3" s="203"/>
      <c r="W3" s="203"/>
      <c r="X3" s="203"/>
      <c r="Y3" s="204"/>
    </row>
    <row r="4" spans="1:28" s="5" customFormat="1" ht="107.25" customHeight="1" x14ac:dyDescent="0.25">
      <c r="A4" s="5" t="s">
        <v>1</v>
      </c>
      <c r="B4" s="5" t="s">
        <v>2</v>
      </c>
      <c r="C4" s="5" t="s">
        <v>3</v>
      </c>
      <c r="D4" s="49" t="s">
        <v>886</v>
      </c>
      <c r="E4" s="163" t="s">
        <v>885</v>
      </c>
      <c r="F4" s="152" t="s">
        <v>293</v>
      </c>
      <c r="G4" s="152" t="s">
        <v>4</v>
      </c>
      <c r="H4" s="95" t="s">
        <v>5</v>
      </c>
      <c r="I4" s="147"/>
      <c r="J4" s="141" t="s">
        <v>395</v>
      </c>
      <c r="K4" s="136" t="s">
        <v>229</v>
      </c>
      <c r="L4" s="129" t="s">
        <v>293</v>
      </c>
      <c r="M4" s="129" t="s">
        <v>4</v>
      </c>
      <c r="N4" s="105" t="s">
        <v>549</v>
      </c>
      <c r="O4" s="95" t="s">
        <v>5</v>
      </c>
      <c r="P4" s="96" t="s">
        <v>765</v>
      </c>
      <c r="Q4" s="97" t="s">
        <v>547</v>
      </c>
      <c r="R4" s="90"/>
      <c r="S4" s="44" t="s">
        <v>4</v>
      </c>
      <c r="T4" s="59" t="s">
        <v>62</v>
      </c>
      <c r="U4" s="73" t="s">
        <v>229</v>
      </c>
      <c r="V4" s="79" t="s">
        <v>293</v>
      </c>
      <c r="W4" s="81" t="s">
        <v>395</v>
      </c>
      <c r="X4" s="93" t="s">
        <v>466</v>
      </c>
      <c r="Y4" s="33" t="s">
        <v>34</v>
      </c>
      <c r="Z4" s="95" t="s">
        <v>5</v>
      </c>
      <c r="AA4" s="96" t="s">
        <v>546</v>
      </c>
      <c r="AB4" s="97" t="s">
        <v>547</v>
      </c>
    </row>
    <row r="5" spans="1:28" s="17" customFormat="1" x14ac:dyDescent="0.25">
      <c r="A5" s="199" t="s">
        <v>13</v>
      </c>
      <c r="B5" s="200"/>
      <c r="C5" s="201"/>
      <c r="D5" s="112"/>
      <c r="E5" s="175"/>
      <c r="F5" s="166"/>
      <c r="G5" s="146"/>
      <c r="H5" s="146"/>
      <c r="I5" s="146"/>
      <c r="J5" s="139"/>
      <c r="K5" s="133"/>
      <c r="L5" s="114"/>
      <c r="M5" s="112"/>
      <c r="N5" s="112"/>
      <c r="O5" s="112"/>
      <c r="P5" s="68"/>
      <c r="Q5" s="68"/>
      <c r="R5" s="112"/>
      <c r="S5" s="112"/>
      <c r="T5" s="112"/>
      <c r="U5" s="112"/>
      <c r="V5" s="112"/>
      <c r="W5" s="112"/>
      <c r="X5" s="112"/>
      <c r="Y5" s="112"/>
      <c r="Z5" s="68"/>
      <c r="AA5" s="68"/>
      <c r="AB5" s="68"/>
    </row>
    <row r="6" spans="1:28" s="17" customFormat="1" x14ac:dyDescent="0.25">
      <c r="A6" s="199" t="s">
        <v>14</v>
      </c>
      <c r="B6" s="200"/>
      <c r="C6" s="201"/>
      <c r="D6" s="22"/>
      <c r="E6" s="175"/>
      <c r="F6" s="166"/>
      <c r="G6" s="146"/>
      <c r="H6" s="146"/>
      <c r="I6" s="146"/>
      <c r="J6" s="139"/>
      <c r="K6" s="133"/>
      <c r="L6" s="114"/>
      <c r="M6" s="112"/>
      <c r="N6" s="112"/>
      <c r="O6" s="112"/>
      <c r="P6" s="68"/>
      <c r="Q6" s="68"/>
      <c r="R6" s="112"/>
      <c r="S6" s="112"/>
      <c r="T6" s="112"/>
      <c r="U6" s="112"/>
      <c r="V6" s="112"/>
      <c r="W6" s="112"/>
      <c r="X6" s="112"/>
      <c r="Y6" s="112"/>
      <c r="Z6" s="68"/>
      <c r="AA6" s="68"/>
      <c r="AB6" s="68"/>
    </row>
    <row r="7" spans="1:28" s="17" customFormat="1" x14ac:dyDescent="0.25">
      <c r="A7" s="76" t="s">
        <v>532</v>
      </c>
      <c r="B7" s="71" t="s">
        <v>7</v>
      </c>
      <c r="C7" s="3">
        <v>2010</v>
      </c>
      <c r="D7" s="2">
        <f>Q7+G7+F7+E7</f>
        <v>1</v>
      </c>
      <c r="E7" s="108"/>
      <c r="F7" s="108"/>
      <c r="G7" s="108"/>
      <c r="H7" s="122"/>
      <c r="I7" s="146"/>
      <c r="J7" s="108"/>
      <c r="K7" s="108"/>
      <c r="L7" s="108">
        <f>0</f>
        <v>0</v>
      </c>
      <c r="M7" s="108">
        <f>1</f>
        <v>1</v>
      </c>
      <c r="N7" s="108"/>
      <c r="O7" s="122"/>
      <c r="P7" s="96">
        <f>SUM(J7:N7)</f>
        <v>1</v>
      </c>
      <c r="Q7" s="97">
        <f>IF(C7=2011, P7/3,P7)+O7</f>
        <v>1</v>
      </c>
      <c r="R7" s="91"/>
      <c r="S7" s="41"/>
      <c r="T7" s="41"/>
      <c r="U7" s="41"/>
      <c r="V7" s="41"/>
      <c r="W7" s="41"/>
      <c r="X7" s="41">
        <f>2</f>
        <v>2</v>
      </c>
      <c r="Y7" s="41"/>
      <c r="Z7" s="95"/>
      <c r="AA7" s="96">
        <f>SUM(S7:Y7)</f>
        <v>2</v>
      </c>
      <c r="AB7" s="97">
        <f>IF(C7=2010, AA7/3,AA7)+Z7</f>
        <v>0.66666666666666663</v>
      </c>
    </row>
    <row r="8" spans="1:28" x14ac:dyDescent="0.25">
      <c r="A8" s="11" t="s">
        <v>27</v>
      </c>
      <c r="B8" s="11" t="s">
        <v>6</v>
      </c>
      <c r="C8" s="3">
        <v>2010</v>
      </c>
      <c r="D8" s="2">
        <f>Q8+G8+F8+E8</f>
        <v>186</v>
      </c>
      <c r="E8" s="108"/>
      <c r="F8" s="108"/>
      <c r="G8" s="108"/>
      <c r="H8" s="122"/>
      <c r="I8" s="146"/>
      <c r="J8" s="108"/>
      <c r="K8" s="108"/>
      <c r="L8" s="108"/>
      <c r="M8" s="108"/>
      <c r="N8" s="108">
        <f>AB8</f>
        <v>186</v>
      </c>
      <c r="O8" s="122"/>
      <c r="P8" s="96">
        <f>SUM(J8:N8)</f>
        <v>186</v>
      </c>
      <c r="Q8" s="97">
        <f>IF(C8=2011, P8/3,P8)+O8</f>
        <v>186</v>
      </c>
      <c r="R8" s="91"/>
      <c r="S8" s="41">
        <f>6</f>
        <v>6</v>
      </c>
      <c r="T8" s="41"/>
      <c r="U8" s="41">
        <f>18+12</f>
        <v>30</v>
      </c>
      <c r="V8" s="41">
        <f>27+15</f>
        <v>42</v>
      </c>
      <c r="W8" s="41"/>
      <c r="X8" s="41"/>
      <c r="Y8" s="41">
        <v>480</v>
      </c>
      <c r="Z8" s="95"/>
      <c r="AA8" s="96">
        <f>SUM(S8:Y8)</f>
        <v>558</v>
      </c>
      <c r="AB8" s="97">
        <f>IF(C8=2010, AA8/3,AA8)+Z8</f>
        <v>186</v>
      </c>
    </row>
    <row r="9" spans="1:28" x14ac:dyDescent="0.25">
      <c r="A9" s="11" t="s">
        <v>345</v>
      </c>
      <c r="B9" s="11" t="s">
        <v>233</v>
      </c>
      <c r="C9" s="3">
        <v>2011</v>
      </c>
      <c r="D9" s="2">
        <f>Q9+G9+F9+E9</f>
        <v>139</v>
      </c>
      <c r="E9" s="108"/>
      <c r="F9" s="108"/>
      <c r="G9" s="108"/>
      <c r="H9" s="122"/>
      <c r="I9" s="144"/>
      <c r="J9" s="108"/>
      <c r="K9" s="108"/>
      <c r="L9" s="108"/>
      <c r="M9" s="108">
        <f>15</f>
        <v>15</v>
      </c>
      <c r="N9" s="108">
        <f>AB9</f>
        <v>124</v>
      </c>
      <c r="O9" s="122"/>
      <c r="P9" s="96">
        <f>SUM(J9:N9)</f>
        <v>139</v>
      </c>
      <c r="Q9" s="97">
        <f>IF(C9=2016, P9/3,P9)+O9</f>
        <v>139</v>
      </c>
      <c r="R9" s="91"/>
      <c r="V9" s="13">
        <f>39</f>
        <v>39</v>
      </c>
      <c r="X9" s="13">
        <f>33</f>
        <v>33</v>
      </c>
      <c r="Y9" s="13">
        <f>52</f>
        <v>52</v>
      </c>
      <c r="Z9" s="95"/>
      <c r="AA9" s="96">
        <f>SUM(S9:Y9)</f>
        <v>124</v>
      </c>
      <c r="AB9" s="97">
        <f>IF(C9=2015, AA9/3,AA9)+Z9</f>
        <v>124</v>
      </c>
    </row>
    <row r="10" spans="1:28" s="52" customFormat="1" x14ac:dyDescent="0.25">
      <c r="A10" s="11" t="s">
        <v>347</v>
      </c>
      <c r="B10" s="11" t="s">
        <v>0</v>
      </c>
      <c r="C10" s="3">
        <v>2011</v>
      </c>
      <c r="D10" s="2">
        <f>Q10+G10+F10+E10</f>
        <v>163</v>
      </c>
      <c r="E10" s="108"/>
      <c r="F10" s="108"/>
      <c r="G10" s="108"/>
      <c r="H10" s="122"/>
      <c r="I10" s="144"/>
      <c r="J10" s="108">
        <f>6</f>
        <v>6</v>
      </c>
      <c r="K10" s="108">
        <f>9</f>
        <v>9</v>
      </c>
      <c r="L10" s="108">
        <f>74</f>
        <v>74</v>
      </c>
      <c r="M10" s="108"/>
      <c r="N10" s="108">
        <f>AB10</f>
        <v>74</v>
      </c>
      <c r="O10" s="122"/>
      <c r="P10" s="96">
        <f>SUM(J10:N10)</f>
        <v>163</v>
      </c>
      <c r="Q10" s="97">
        <f>IF(C10=2016, P10/3,P10)+O10</f>
        <v>163</v>
      </c>
      <c r="R10" s="91"/>
      <c r="S10" s="13"/>
      <c r="T10" s="13"/>
      <c r="U10" s="13"/>
      <c r="V10" s="13">
        <f>0</f>
        <v>0</v>
      </c>
      <c r="W10" s="13">
        <f>6</f>
        <v>6</v>
      </c>
      <c r="X10" s="13">
        <f>15+3</f>
        <v>18</v>
      </c>
      <c r="Y10" s="13">
        <f>50</f>
        <v>50</v>
      </c>
      <c r="Z10" s="95"/>
      <c r="AA10" s="96">
        <f>SUM(S10:Y10)</f>
        <v>74</v>
      </c>
      <c r="AB10" s="97">
        <f>IF(C10=2015, AA10/3,AA10)+Z10</f>
        <v>74</v>
      </c>
    </row>
    <row r="11" spans="1:28" x14ac:dyDescent="0.25">
      <c r="A11" s="60" t="s">
        <v>203</v>
      </c>
      <c r="B11" s="65" t="s">
        <v>88</v>
      </c>
      <c r="C11" s="62">
        <v>2009</v>
      </c>
      <c r="D11" s="2">
        <f>Q11+G11+F11+E11</f>
        <v>12</v>
      </c>
      <c r="E11" s="108"/>
      <c r="F11" s="108"/>
      <c r="G11" s="108"/>
      <c r="H11" s="122"/>
      <c r="I11" s="146"/>
      <c r="J11" s="108"/>
      <c r="K11" s="108"/>
      <c r="L11" s="108"/>
      <c r="M11" s="108"/>
      <c r="N11" s="108">
        <f>AB11</f>
        <v>12</v>
      </c>
      <c r="O11" s="122"/>
      <c r="P11" s="96">
        <f>SUM(J11:N11)</f>
        <v>12</v>
      </c>
      <c r="Q11" s="97">
        <f>IF(C11=2011, P11/3,P11)+O11</f>
        <v>12</v>
      </c>
      <c r="R11" s="91"/>
      <c r="S11" s="112"/>
      <c r="T11" s="50">
        <f>6+6</f>
        <v>12</v>
      </c>
      <c r="U11" s="50"/>
      <c r="V11" s="50"/>
      <c r="W11" s="50"/>
      <c r="X11" s="50"/>
      <c r="Y11" s="112"/>
      <c r="Z11" s="95"/>
      <c r="AA11" s="96">
        <f>SUM(S11:Y11)</f>
        <v>12</v>
      </c>
      <c r="AB11" s="97">
        <f>IF(C11=2010, AA11/3,AA11)+Z11</f>
        <v>12</v>
      </c>
    </row>
    <row r="12" spans="1:28" x14ac:dyDescent="0.25">
      <c r="A12" s="21" t="s">
        <v>28</v>
      </c>
      <c r="B12" s="21" t="s">
        <v>23</v>
      </c>
      <c r="C12" s="25">
        <v>2010</v>
      </c>
      <c r="D12" s="2">
        <f>Q12+G12+F12+E12</f>
        <v>246</v>
      </c>
      <c r="E12" s="108"/>
      <c r="F12" s="108"/>
      <c r="G12" s="108"/>
      <c r="H12" s="122"/>
      <c r="I12" s="146"/>
      <c r="J12" s="108"/>
      <c r="K12" s="108"/>
      <c r="L12" s="108">
        <f>39+102</f>
        <v>141</v>
      </c>
      <c r="M12" s="108"/>
      <c r="N12" s="108">
        <f>AB12</f>
        <v>105</v>
      </c>
      <c r="O12" s="122"/>
      <c r="P12" s="96">
        <f>SUM(J12:N12)</f>
        <v>246</v>
      </c>
      <c r="Q12" s="97">
        <f>IF(C12=2011, P12/3,P12)+O12</f>
        <v>246</v>
      </c>
      <c r="R12" s="91"/>
      <c r="S12" s="41">
        <f>9</f>
        <v>9</v>
      </c>
      <c r="T12" s="41"/>
      <c r="U12" s="41"/>
      <c r="V12" s="41"/>
      <c r="W12" s="41"/>
      <c r="X12" s="41"/>
      <c r="Y12" s="41">
        <v>288</v>
      </c>
      <c r="Z12" s="95">
        <f>6</f>
        <v>6</v>
      </c>
      <c r="AA12" s="96">
        <f>SUM(S12:Y12)</f>
        <v>297</v>
      </c>
      <c r="AB12" s="97">
        <f>IF(C12=2010, AA12/3,AA12)+Z12</f>
        <v>105</v>
      </c>
    </row>
    <row r="13" spans="1:28" s="52" customFormat="1" x14ac:dyDescent="0.25">
      <c r="A13" s="51" t="s">
        <v>375</v>
      </c>
      <c r="B13" s="51" t="s">
        <v>233</v>
      </c>
      <c r="C13" s="52">
        <v>2009</v>
      </c>
      <c r="D13" s="2">
        <f>Q13+G13+F13+E13</f>
        <v>29</v>
      </c>
      <c r="E13" s="108"/>
      <c r="F13" s="108"/>
      <c r="G13" s="108"/>
      <c r="H13" s="122"/>
      <c r="I13" s="146"/>
      <c r="J13" s="108"/>
      <c r="K13" s="108"/>
      <c r="L13" s="108"/>
      <c r="M13" s="108"/>
      <c r="N13" s="108">
        <f>AB13</f>
        <v>29</v>
      </c>
      <c r="O13" s="122"/>
      <c r="P13" s="96">
        <f>SUM(J13:N13)</f>
        <v>29</v>
      </c>
      <c r="Q13" s="97">
        <f>IF(C13=2011, P13/3,P13)+O13</f>
        <v>29</v>
      </c>
      <c r="R13" s="112"/>
      <c r="S13" s="112"/>
      <c r="T13" s="112"/>
      <c r="U13" s="112"/>
      <c r="V13" s="50">
        <f>29</f>
        <v>29</v>
      </c>
      <c r="W13" s="50"/>
      <c r="X13" s="50"/>
      <c r="Y13" s="112"/>
      <c r="Z13" s="95"/>
      <c r="AA13" s="96">
        <f>SUM(S13:Y13)</f>
        <v>29</v>
      </c>
      <c r="AB13" s="97">
        <f>IF(C13=2010, AA13/3,AA13)+Z13</f>
        <v>29</v>
      </c>
    </row>
    <row r="14" spans="1:28" s="17" customFormat="1" x14ac:dyDescent="0.25">
      <c r="A14" s="76" t="s">
        <v>346</v>
      </c>
      <c r="B14" s="71" t="s">
        <v>87</v>
      </c>
      <c r="C14" s="3">
        <v>2010</v>
      </c>
      <c r="D14" s="2">
        <f>Q14+G14+F14+E14</f>
        <v>5</v>
      </c>
      <c r="E14" s="108"/>
      <c r="F14" s="108"/>
      <c r="G14" s="108"/>
      <c r="H14" s="122"/>
      <c r="I14" s="146"/>
      <c r="J14" s="108"/>
      <c r="K14" s="108"/>
      <c r="L14" s="108"/>
      <c r="M14" s="108"/>
      <c r="N14" s="108">
        <f>AB14</f>
        <v>5</v>
      </c>
      <c r="O14" s="122"/>
      <c r="P14" s="96">
        <f>SUM(J14:N14)</f>
        <v>5</v>
      </c>
      <c r="Q14" s="97">
        <f>IF(C14=2011, P14/3,P14)+O14</f>
        <v>5</v>
      </c>
      <c r="R14" s="91"/>
      <c r="S14" s="41"/>
      <c r="T14" s="41"/>
      <c r="U14" s="41"/>
      <c r="V14" s="41">
        <f>15</f>
        <v>15</v>
      </c>
      <c r="W14" s="41"/>
      <c r="X14" s="41"/>
      <c r="Y14" s="41"/>
      <c r="Z14" s="95"/>
      <c r="AA14" s="96">
        <f>SUM(S14:Y14)</f>
        <v>15</v>
      </c>
      <c r="AB14" s="97">
        <f>IF(C14=2010, AA14/3,AA14)+Z14</f>
        <v>5</v>
      </c>
    </row>
    <row r="15" spans="1:28" x14ac:dyDescent="0.25">
      <c r="A15" s="11" t="s">
        <v>106</v>
      </c>
      <c r="B15" s="11" t="s">
        <v>64</v>
      </c>
      <c r="C15" s="3">
        <v>2011</v>
      </c>
      <c r="D15" s="2">
        <f>Q15+G15+F15+E15</f>
        <v>237</v>
      </c>
      <c r="E15" s="108"/>
      <c r="F15" s="108">
        <f>9+3</f>
        <v>12</v>
      </c>
      <c r="G15" s="108">
        <f>3</f>
        <v>3</v>
      </c>
      <c r="H15" s="122">
        <f>3+6+3</f>
        <v>12</v>
      </c>
      <c r="I15" s="144"/>
      <c r="J15" s="108"/>
      <c r="K15" s="108">
        <f>6</f>
        <v>6</v>
      </c>
      <c r="L15" s="108">
        <f>171</f>
        <v>171</v>
      </c>
      <c r="M15" s="108">
        <f>9</f>
        <v>9</v>
      </c>
      <c r="N15" s="108">
        <f>AB15</f>
        <v>30</v>
      </c>
      <c r="O15" s="122">
        <f>6</f>
        <v>6</v>
      </c>
      <c r="P15" s="96">
        <f>SUM(J15:N15)</f>
        <v>216</v>
      </c>
      <c r="Q15" s="97">
        <f>IF(C15=2016, P15/3,P15)+O15</f>
        <v>222</v>
      </c>
      <c r="R15" s="91"/>
      <c r="T15" s="13">
        <v>15</v>
      </c>
      <c r="Y15" s="13">
        <f>15</f>
        <v>15</v>
      </c>
      <c r="Z15" s="95"/>
      <c r="AA15" s="96">
        <f>SUM(S15:Y15)</f>
        <v>30</v>
      </c>
      <c r="AB15" s="97">
        <f>IF(C15=2015, AA15/3,AA15)+Z15</f>
        <v>30</v>
      </c>
    </row>
    <row r="16" spans="1:28" s="17" customFormat="1" x14ac:dyDescent="0.25">
      <c r="A16" s="76" t="s">
        <v>585</v>
      </c>
      <c r="B16" s="71" t="s">
        <v>64</v>
      </c>
      <c r="C16" s="3">
        <v>2010</v>
      </c>
      <c r="D16" s="2">
        <f>Q16+G16+F16+E16</f>
        <v>6</v>
      </c>
      <c r="E16" s="108"/>
      <c r="F16" s="108"/>
      <c r="G16" s="108"/>
      <c r="H16" s="122"/>
      <c r="I16" s="146"/>
      <c r="J16" s="108"/>
      <c r="K16" s="108"/>
      <c r="L16" s="108"/>
      <c r="M16" s="108">
        <f>3</f>
        <v>3</v>
      </c>
      <c r="N16" s="108">
        <v>3</v>
      </c>
      <c r="O16" s="122"/>
      <c r="P16" s="96">
        <f>SUM(J16:N16)</f>
        <v>6</v>
      </c>
      <c r="Q16" s="97">
        <f>IF(C16=2011, P16/3,P16)+O16</f>
        <v>6</v>
      </c>
      <c r="R16" s="112"/>
      <c r="S16" s="41"/>
      <c r="T16" s="41">
        <v>3</v>
      </c>
      <c r="U16" s="41"/>
      <c r="V16" s="41"/>
      <c r="W16" s="41"/>
      <c r="X16" s="41"/>
      <c r="Y16" s="41"/>
      <c r="Z16" s="95"/>
      <c r="AA16" s="96"/>
      <c r="AB16" s="97"/>
    </row>
    <row r="17" spans="1:28" s="52" customFormat="1" x14ac:dyDescent="0.25">
      <c r="A17" s="126" t="s">
        <v>205</v>
      </c>
      <c r="B17" s="127" t="s">
        <v>88</v>
      </c>
      <c r="C17" s="128">
        <v>2009</v>
      </c>
      <c r="D17" s="2">
        <f>Q17+G17+F17+E17</f>
        <v>12</v>
      </c>
      <c r="E17" s="108"/>
      <c r="F17" s="108"/>
      <c r="G17" s="108"/>
      <c r="H17" s="122"/>
      <c r="I17" s="146"/>
      <c r="J17" s="108"/>
      <c r="K17" s="108"/>
      <c r="L17" s="108"/>
      <c r="M17" s="108"/>
      <c r="N17" s="108">
        <f>AB17</f>
        <v>12</v>
      </c>
      <c r="O17" s="122"/>
      <c r="P17" s="96">
        <f>SUM(J17:N17)</f>
        <v>12</v>
      </c>
      <c r="Q17" s="97">
        <f>IF(C17=2011, P17/3,P17)+O17</f>
        <v>12</v>
      </c>
      <c r="R17" s="112"/>
      <c r="S17" s="112"/>
      <c r="T17" s="50">
        <f>9+3</f>
        <v>12</v>
      </c>
      <c r="U17" s="50"/>
      <c r="V17" s="50"/>
      <c r="W17" s="50"/>
      <c r="X17" s="50"/>
      <c r="Y17" s="112"/>
      <c r="Z17" s="95"/>
      <c r="AA17" s="96">
        <f>SUM(S17:Y17)</f>
        <v>12</v>
      </c>
      <c r="AB17" s="97">
        <f>IF(C17=2010, AA17/3,AA17)+Z17</f>
        <v>12</v>
      </c>
    </row>
    <row r="18" spans="1:28" x14ac:dyDescent="0.25">
      <c r="A18" s="60" t="s">
        <v>206</v>
      </c>
      <c r="B18" s="65" t="s">
        <v>88</v>
      </c>
      <c r="C18" s="62">
        <v>2008</v>
      </c>
      <c r="D18" s="2">
        <f>Q18+G18+F18+E18</f>
        <v>6</v>
      </c>
      <c r="E18" s="108"/>
      <c r="F18" s="108"/>
      <c r="G18" s="108"/>
      <c r="H18" s="122"/>
      <c r="J18" s="108"/>
      <c r="K18" s="108"/>
      <c r="L18" s="108"/>
      <c r="M18" s="108"/>
      <c r="N18" s="108">
        <f>AB18</f>
        <v>6</v>
      </c>
      <c r="O18" s="122"/>
      <c r="P18" s="96">
        <f>SUM(J18:N18)</f>
        <v>6</v>
      </c>
      <c r="Q18" s="97">
        <f>IF(C18=2011, P18/3,P18)+O18</f>
        <v>6</v>
      </c>
      <c r="T18" s="50">
        <f>3+3</f>
        <v>6</v>
      </c>
      <c r="U18" s="50"/>
      <c r="V18" s="50"/>
      <c r="W18" s="50"/>
      <c r="X18" s="50"/>
      <c r="Z18" s="95"/>
      <c r="AA18" s="96">
        <f>SUM(S18:Y18)</f>
        <v>6</v>
      </c>
      <c r="AB18" s="97">
        <f>IF(C18=2010, AA18/3,AA18)+Z18</f>
        <v>6</v>
      </c>
    </row>
    <row r="19" spans="1:28" x14ac:dyDescent="0.25">
      <c r="A19" s="60" t="s">
        <v>204</v>
      </c>
      <c r="B19" s="65" t="s">
        <v>88</v>
      </c>
      <c r="C19" s="62">
        <v>2008</v>
      </c>
      <c r="D19" s="2">
        <f>Q19+G19+F19+E19</f>
        <v>26</v>
      </c>
      <c r="E19" s="108"/>
      <c r="F19" s="108"/>
      <c r="G19" s="108"/>
      <c r="H19" s="122"/>
      <c r="J19" s="108"/>
      <c r="K19" s="108"/>
      <c r="L19" s="108"/>
      <c r="M19" s="108"/>
      <c r="N19" s="108">
        <f>AB19</f>
        <v>26</v>
      </c>
      <c r="O19" s="122"/>
      <c r="P19" s="96">
        <f>SUM(J19:N19)</f>
        <v>26</v>
      </c>
      <c r="Q19" s="97">
        <f>IF(C19=2011, P19/3,P19)+O19</f>
        <v>26</v>
      </c>
      <c r="T19" s="50">
        <f>0+21</f>
        <v>21</v>
      </c>
      <c r="U19" s="50"/>
      <c r="V19" s="50"/>
      <c r="W19" s="50"/>
      <c r="X19" s="50"/>
      <c r="Y19" s="13">
        <f>5</f>
        <v>5</v>
      </c>
      <c r="Z19" s="95"/>
      <c r="AA19" s="96">
        <f>SUM(S19:Y19)</f>
        <v>26</v>
      </c>
      <c r="AB19" s="97">
        <f>IF(C19=2010, AA19/3,AA19)+Z19</f>
        <v>26</v>
      </c>
    </row>
    <row r="20" spans="1:28" x14ac:dyDescent="0.25">
      <c r="A20" s="51" t="s">
        <v>59</v>
      </c>
      <c r="B20" s="51" t="s">
        <v>23</v>
      </c>
      <c r="C20" s="52">
        <v>2008</v>
      </c>
      <c r="D20" s="2">
        <f>Q20+G20+F20+E20</f>
        <v>14.333333333333334</v>
      </c>
      <c r="E20" s="108"/>
      <c r="F20" s="108"/>
      <c r="G20" s="108"/>
      <c r="H20" s="122"/>
      <c r="I20" s="50"/>
      <c r="J20" s="108"/>
      <c r="K20" s="108"/>
      <c r="L20" s="108">
        <f>4</f>
        <v>4</v>
      </c>
      <c r="M20" s="108"/>
      <c r="N20" s="108">
        <f>AB20</f>
        <v>10.333333333333334</v>
      </c>
      <c r="O20" s="122"/>
      <c r="P20" s="96">
        <f>SUM(J20:N20)</f>
        <v>14.333333333333334</v>
      </c>
      <c r="Q20" s="97">
        <f>IF(C20=2011, P20/3,P20)+O20</f>
        <v>14.333333333333334</v>
      </c>
      <c r="R20" s="50"/>
      <c r="S20" s="50">
        <f>0</f>
        <v>0</v>
      </c>
      <c r="T20" s="50"/>
      <c r="U20" s="50"/>
      <c r="V20" s="50"/>
      <c r="W20" s="50"/>
      <c r="X20" s="50"/>
      <c r="Y20" s="50">
        <v>10.333333333333334</v>
      </c>
      <c r="Z20" s="95"/>
      <c r="AA20" s="96">
        <f>SUM(S20:Y20)</f>
        <v>10.333333333333334</v>
      </c>
      <c r="AB20" s="97">
        <f>IF(C20=2010, AA20/3,AA20)+Z20</f>
        <v>10.333333333333334</v>
      </c>
    </row>
    <row r="21" spans="1:28" x14ac:dyDescent="0.25">
      <c r="A21" s="11" t="s">
        <v>101</v>
      </c>
      <c r="B21" s="11" t="s">
        <v>64</v>
      </c>
      <c r="C21" s="3">
        <v>2010</v>
      </c>
      <c r="D21" s="2">
        <f>Q21+G21+F21+E21</f>
        <v>0</v>
      </c>
      <c r="E21" s="108"/>
      <c r="F21" s="108"/>
      <c r="G21" s="108"/>
      <c r="H21" s="122"/>
      <c r="I21" s="146"/>
      <c r="J21" s="108"/>
      <c r="K21" s="108"/>
      <c r="L21" s="108"/>
      <c r="M21" s="108"/>
      <c r="N21" s="108">
        <f>AB21</f>
        <v>0</v>
      </c>
      <c r="O21" s="122"/>
      <c r="P21" s="96">
        <f>SUM(J21:N21)</f>
        <v>0</v>
      </c>
      <c r="Q21" s="97">
        <f>IF(C21=2011, P21/3,P21)+O21</f>
        <v>0</v>
      </c>
      <c r="R21" s="91"/>
      <c r="S21" s="50"/>
      <c r="T21" s="50"/>
      <c r="U21" s="50"/>
      <c r="V21" s="50"/>
      <c r="W21" s="50"/>
      <c r="X21" s="50"/>
      <c r="Y21" s="74"/>
      <c r="Z21" s="95"/>
      <c r="AA21" s="96">
        <f>SUM(S21:Y21)</f>
        <v>0</v>
      </c>
      <c r="AB21" s="97">
        <f>IF(C21=2010, AA21/3,AA21)+Z21</f>
        <v>0</v>
      </c>
    </row>
    <row r="22" spans="1:28" x14ac:dyDescent="0.25">
      <c r="A22" s="11" t="s">
        <v>111</v>
      </c>
      <c r="B22" s="11" t="s">
        <v>88</v>
      </c>
      <c r="C22" s="3">
        <v>2010</v>
      </c>
      <c r="D22" s="2">
        <f>Q22+G22+F22+E22</f>
        <v>15</v>
      </c>
      <c r="E22" s="108"/>
      <c r="F22" s="108"/>
      <c r="G22" s="108"/>
      <c r="H22" s="122"/>
      <c r="I22" s="146"/>
      <c r="J22" s="108"/>
      <c r="K22" s="108"/>
      <c r="L22" s="108"/>
      <c r="M22" s="108"/>
      <c r="N22" s="108">
        <f>AB22</f>
        <v>15</v>
      </c>
      <c r="O22" s="122"/>
      <c r="P22" s="96">
        <f>SUM(J22:N22)</f>
        <v>15</v>
      </c>
      <c r="Q22" s="97">
        <f>IF(C22=2011, P22/3,P22)+O22</f>
        <v>15</v>
      </c>
      <c r="R22" s="91"/>
      <c r="T22" s="13">
        <v>0</v>
      </c>
      <c r="Z22" s="95">
        <f>15</f>
        <v>15</v>
      </c>
      <c r="AA22" s="96">
        <f>SUM(S22:Y22)</f>
        <v>0</v>
      </c>
      <c r="AB22" s="97">
        <f>IF(C22=2010, AA22/3,AA22)+Z22</f>
        <v>15</v>
      </c>
    </row>
    <row r="23" spans="1:28" x14ac:dyDescent="0.25">
      <c r="A23" s="11" t="s">
        <v>105</v>
      </c>
      <c r="B23" s="11" t="s">
        <v>64</v>
      </c>
      <c r="C23" s="3">
        <v>2010</v>
      </c>
      <c r="D23" s="2">
        <f>Q23+G23+F23+E23</f>
        <v>69</v>
      </c>
      <c r="E23" s="108"/>
      <c r="F23" s="108">
        <f>0+18</f>
        <v>18</v>
      </c>
      <c r="G23" s="108">
        <f>0+6</f>
        <v>6</v>
      </c>
      <c r="H23" s="122"/>
      <c r="I23" s="146"/>
      <c r="J23" s="108"/>
      <c r="K23" s="108">
        <f>0</f>
        <v>0</v>
      </c>
      <c r="L23" s="108">
        <f>0+39</f>
        <v>39</v>
      </c>
      <c r="M23" s="108">
        <f>0+3</f>
        <v>3</v>
      </c>
      <c r="N23" s="108">
        <f>AB23</f>
        <v>3</v>
      </c>
      <c r="O23" s="122"/>
      <c r="P23" s="96">
        <f>SUM(J23:N23)</f>
        <v>45</v>
      </c>
      <c r="Q23" s="97">
        <f>IF(C23=2011, P23/3,P23)+O23</f>
        <v>45</v>
      </c>
      <c r="R23" s="112"/>
      <c r="T23" s="13">
        <v>6</v>
      </c>
      <c r="Y23" s="13">
        <f>3</f>
        <v>3</v>
      </c>
      <c r="Z23" s="95"/>
      <c r="AA23" s="96">
        <f>SUM(S23:Y23)</f>
        <v>9</v>
      </c>
      <c r="AB23" s="97">
        <f>IF(C23=2010, AA23/3,AA23)+Z23</f>
        <v>3</v>
      </c>
    </row>
    <row r="24" spans="1:28" x14ac:dyDescent="0.25">
      <c r="A24" s="11" t="s">
        <v>137</v>
      </c>
      <c r="B24" s="60" t="s">
        <v>112</v>
      </c>
      <c r="C24" s="62">
        <v>2010</v>
      </c>
      <c r="D24" s="2">
        <f>Q24+G24+F24+E24</f>
        <v>2.6666666666666665</v>
      </c>
      <c r="E24" s="108"/>
      <c r="F24" s="108"/>
      <c r="G24" s="108"/>
      <c r="H24" s="122"/>
      <c r="I24" s="146"/>
      <c r="J24" s="108"/>
      <c r="K24" s="108"/>
      <c r="L24" s="108"/>
      <c r="M24" s="108"/>
      <c r="N24" s="108">
        <f>AB24</f>
        <v>2.6666666666666665</v>
      </c>
      <c r="O24" s="122"/>
      <c r="P24" s="96">
        <f>SUM(J24:N24)</f>
        <v>2.6666666666666665</v>
      </c>
      <c r="Q24" s="97">
        <f>IF(C24=2011, P24/3,P24)+O24</f>
        <v>2.6666666666666665</v>
      </c>
      <c r="R24" s="112"/>
      <c r="S24" s="41"/>
      <c r="T24" s="41">
        <v>8</v>
      </c>
      <c r="U24" s="41"/>
      <c r="V24" s="41"/>
      <c r="W24" s="41"/>
      <c r="X24" s="41"/>
      <c r="Y24" s="74"/>
      <c r="Z24" s="95"/>
      <c r="AA24" s="96">
        <f>SUM(S24:Y24)</f>
        <v>8</v>
      </c>
      <c r="AB24" s="97">
        <f>IF(C24=2010, AA24/3,AA24)+Z24</f>
        <v>2.6666666666666665</v>
      </c>
    </row>
    <row r="25" spans="1:28" x14ac:dyDescent="0.25">
      <c r="A25" s="11" t="s">
        <v>645</v>
      </c>
      <c r="B25" s="11" t="s">
        <v>637</v>
      </c>
      <c r="C25" s="3">
        <v>2009</v>
      </c>
      <c r="D25" s="2">
        <f>Q25+G25+F25+E25</f>
        <v>63</v>
      </c>
      <c r="E25" s="108"/>
      <c r="F25" s="108">
        <f>9</f>
        <v>9</v>
      </c>
      <c r="G25" s="108">
        <f>3</f>
        <v>3</v>
      </c>
      <c r="H25" s="122"/>
      <c r="I25" s="146"/>
      <c r="J25" s="108"/>
      <c r="K25" s="108"/>
      <c r="L25" s="108">
        <f>0</f>
        <v>0</v>
      </c>
      <c r="M25" s="108"/>
      <c r="N25" s="108">
        <f>51</f>
        <v>51</v>
      </c>
      <c r="O25" s="122"/>
      <c r="P25" s="96">
        <f>SUM(J25:N25)</f>
        <v>51</v>
      </c>
      <c r="Q25" s="97">
        <f>IF(C25=2011, P25/3,P25)+O25</f>
        <v>51</v>
      </c>
      <c r="R25" s="114"/>
      <c r="S25" s="41"/>
      <c r="T25" s="41"/>
      <c r="U25" s="41"/>
      <c r="V25" s="41"/>
      <c r="W25" s="41"/>
      <c r="X25" s="41"/>
      <c r="Y25" s="74"/>
      <c r="Z25" s="95"/>
      <c r="AA25" s="96"/>
      <c r="AB25" s="97"/>
    </row>
    <row r="26" spans="1:28" x14ac:dyDescent="0.25">
      <c r="A26" s="51" t="s">
        <v>374</v>
      </c>
      <c r="B26" s="51" t="s">
        <v>233</v>
      </c>
      <c r="C26" s="52">
        <v>2009</v>
      </c>
      <c r="D26" s="2">
        <f>Q26+G26+F26+E26</f>
        <v>64</v>
      </c>
      <c r="E26" s="108"/>
      <c r="F26" s="108"/>
      <c r="G26" s="108"/>
      <c r="H26" s="122"/>
      <c r="I26" s="50"/>
      <c r="J26" s="108"/>
      <c r="K26" s="108">
        <f>6</f>
        <v>6</v>
      </c>
      <c r="L26" s="108">
        <f>22</f>
        <v>22</v>
      </c>
      <c r="M26" s="108"/>
      <c r="N26" s="108">
        <f>AB26</f>
        <v>36</v>
      </c>
      <c r="O26" s="122"/>
      <c r="P26" s="96">
        <f>SUM(J26:N26)</f>
        <v>64</v>
      </c>
      <c r="Q26" s="97">
        <f>IF(C26=2011, P26/3,P26)+O26</f>
        <v>64</v>
      </c>
      <c r="R26" s="50"/>
      <c r="S26" s="50"/>
      <c r="T26" s="50"/>
      <c r="U26" s="50"/>
      <c r="V26" s="50">
        <f>3</f>
        <v>3</v>
      </c>
      <c r="W26" s="50"/>
      <c r="X26" s="50"/>
      <c r="Y26" s="50">
        <f>33</f>
        <v>33</v>
      </c>
      <c r="Z26" s="95"/>
      <c r="AA26" s="96">
        <f>SUM(S26:Y26)</f>
        <v>36</v>
      </c>
      <c r="AB26" s="97">
        <f>IF(C26=2010, AA26/3,AA26)+Z26</f>
        <v>36</v>
      </c>
    </row>
    <row r="27" spans="1:28" x14ac:dyDescent="0.25">
      <c r="A27" s="60" t="s">
        <v>577</v>
      </c>
      <c r="B27" s="65" t="s">
        <v>64</v>
      </c>
      <c r="C27" s="62">
        <v>2010</v>
      </c>
      <c r="D27" s="2">
        <f>Q27+G27+F27+E27</f>
        <v>33</v>
      </c>
      <c r="E27" s="108"/>
      <c r="F27" s="108">
        <f>3</f>
        <v>3</v>
      </c>
      <c r="G27" s="108">
        <f>0+6</f>
        <v>6</v>
      </c>
      <c r="H27" s="124"/>
      <c r="J27" s="108"/>
      <c r="K27" s="108">
        <f>3</f>
        <v>3</v>
      </c>
      <c r="L27" s="108"/>
      <c r="M27" s="108">
        <f>21</f>
        <v>21</v>
      </c>
      <c r="N27" s="3"/>
      <c r="O27" s="124"/>
      <c r="P27" s="96">
        <f>SUM(J27:N27)</f>
        <v>24</v>
      </c>
      <c r="Q27" s="97">
        <f>IF(C27=2011, P27/3,P27)+O27</f>
        <v>24</v>
      </c>
      <c r="Z27" s="95"/>
      <c r="AA27" s="96"/>
      <c r="AB27" s="97"/>
    </row>
    <row r="28" spans="1:28" x14ac:dyDescent="0.25">
      <c r="A28" s="11" t="s">
        <v>270</v>
      </c>
      <c r="B28" s="11" t="s">
        <v>233</v>
      </c>
      <c r="C28" s="3">
        <v>2010</v>
      </c>
      <c r="D28" s="2">
        <f>Q28+G28+F28+E28</f>
        <v>83.666666666666657</v>
      </c>
      <c r="E28" s="108"/>
      <c r="F28" s="108"/>
      <c r="G28" s="108"/>
      <c r="H28" s="122"/>
      <c r="I28" s="146"/>
      <c r="J28" s="108">
        <f>0</f>
        <v>0</v>
      </c>
      <c r="K28" s="108">
        <f>9</f>
        <v>9</v>
      </c>
      <c r="L28" s="108">
        <f>28</f>
        <v>28</v>
      </c>
      <c r="M28" s="108"/>
      <c r="N28" s="108">
        <f>AB28</f>
        <v>46.666666666666664</v>
      </c>
      <c r="O28" s="122"/>
      <c r="P28" s="96">
        <f>SUM(J28:N28)</f>
        <v>83.666666666666657</v>
      </c>
      <c r="Q28" s="97">
        <f>IF(C28=2011, P28/3,P28)+O28</f>
        <v>83.666666666666657</v>
      </c>
      <c r="R28" s="112"/>
      <c r="U28" s="13">
        <f>3</f>
        <v>3</v>
      </c>
      <c r="V28" s="13">
        <f>30</f>
        <v>30</v>
      </c>
      <c r="X28" s="13">
        <f>3</f>
        <v>3</v>
      </c>
      <c r="Y28" s="13">
        <f>104</f>
        <v>104</v>
      </c>
      <c r="Z28" s="95"/>
      <c r="AA28" s="96">
        <f>SUM(S28:Y28)</f>
        <v>140</v>
      </c>
      <c r="AB28" s="97">
        <f>IF(C28=2010, AA28/3,AA28)+Z28</f>
        <v>46.666666666666664</v>
      </c>
    </row>
    <row r="29" spans="1:28" x14ac:dyDescent="0.25">
      <c r="A29" s="11" t="s">
        <v>348</v>
      </c>
      <c r="B29" s="11" t="s">
        <v>87</v>
      </c>
      <c r="C29" s="3">
        <v>2010</v>
      </c>
      <c r="D29" s="2">
        <f>Q29+G29+F29+E29</f>
        <v>0</v>
      </c>
      <c r="E29" s="108"/>
      <c r="F29" s="108"/>
      <c r="G29" s="108"/>
      <c r="H29" s="122"/>
      <c r="I29" s="146"/>
      <c r="J29" s="108"/>
      <c r="K29" s="108"/>
      <c r="L29" s="108"/>
      <c r="M29" s="108"/>
      <c r="N29" s="108">
        <f>AB29</f>
        <v>0</v>
      </c>
      <c r="O29" s="122"/>
      <c r="P29" s="96">
        <f>SUM(J29:N29)</f>
        <v>0</v>
      </c>
      <c r="Q29" s="97">
        <f>IF(C29=2011, P29/3,P29)+O29</f>
        <v>0</v>
      </c>
      <c r="R29" s="91"/>
      <c r="V29" s="13">
        <f>0</f>
        <v>0</v>
      </c>
      <c r="Z29" s="95"/>
      <c r="AA29" s="96">
        <f>SUM(S29:Y29)</f>
        <v>0</v>
      </c>
      <c r="AB29" s="97">
        <f>IF(C29=2010, AA29/3,AA29)+Z29</f>
        <v>0</v>
      </c>
    </row>
    <row r="30" spans="1:28" s="17" customFormat="1" x14ac:dyDescent="0.25">
      <c r="A30" s="199" t="s">
        <v>15</v>
      </c>
      <c r="B30" s="200"/>
      <c r="C30" s="201"/>
      <c r="D30" s="181"/>
      <c r="E30" s="108"/>
      <c r="F30" s="108"/>
      <c r="G30" s="108"/>
      <c r="H30" s="108"/>
      <c r="I30" s="146"/>
      <c r="J30" s="108"/>
      <c r="K30" s="108"/>
      <c r="L30" s="108"/>
      <c r="M30" s="108"/>
      <c r="N30" s="108"/>
      <c r="O30" s="108"/>
      <c r="P30" s="68"/>
      <c r="Q30" s="68"/>
      <c r="R30" s="146"/>
      <c r="S30" s="146"/>
      <c r="T30" s="146"/>
      <c r="U30" s="146"/>
      <c r="V30" s="146"/>
      <c r="W30" s="146"/>
      <c r="X30" s="146"/>
      <c r="Y30" s="146"/>
      <c r="Z30" s="68"/>
      <c r="AA30" s="68">
        <f t="shared" ref="AA30" si="0">SUM(S30:Y30)</f>
        <v>0</v>
      </c>
      <c r="AB30" s="68">
        <f>IF(C30=2010, AA30/3,AA30)+Z30</f>
        <v>0</v>
      </c>
    </row>
    <row r="31" spans="1:28" s="17" customFormat="1" x14ac:dyDescent="0.25">
      <c r="A31" s="76" t="s">
        <v>762</v>
      </c>
      <c r="B31" s="71" t="s">
        <v>41</v>
      </c>
      <c r="C31" s="3">
        <v>2011</v>
      </c>
      <c r="D31" s="2">
        <f t="shared" ref="D8:D31" si="1">Q31+G31+F31+E31</f>
        <v>69</v>
      </c>
      <c r="E31" s="108">
        <f>22+3+1</f>
        <v>26</v>
      </c>
      <c r="F31" s="108">
        <f>18+1</f>
        <v>19</v>
      </c>
      <c r="G31" s="108">
        <f>19+1</f>
        <v>20</v>
      </c>
      <c r="H31" s="122"/>
      <c r="I31" s="144"/>
      <c r="J31" s="108">
        <f>0</f>
        <v>0</v>
      </c>
      <c r="K31" s="108"/>
      <c r="L31" s="108"/>
      <c r="M31" s="108"/>
      <c r="N31" s="108"/>
      <c r="O31" s="122">
        <f>4</f>
        <v>4</v>
      </c>
      <c r="P31" s="96">
        <f>SUM(J31:N31)</f>
        <v>0</v>
      </c>
      <c r="Q31" s="97">
        <f>IF(C31=2016, P31/3,P31)+O31</f>
        <v>4</v>
      </c>
      <c r="R31" s="139"/>
      <c r="S31" s="41"/>
      <c r="T31" s="41"/>
      <c r="U31" s="41"/>
      <c r="V31" s="41"/>
      <c r="W31" s="41"/>
      <c r="X31" s="41"/>
      <c r="Y31" s="41"/>
      <c r="Z31" s="95"/>
      <c r="AA31" s="96"/>
      <c r="AB31" s="97"/>
    </row>
  </sheetData>
  <sortState xmlns:xlrd2="http://schemas.microsoft.com/office/spreadsheetml/2017/richdata2" ref="A7:AB29">
    <sortCondition ref="A7:A29"/>
  </sortState>
  <mergeCells count="7">
    <mergeCell ref="S3:Y3"/>
    <mergeCell ref="A5:C5"/>
    <mergeCell ref="A6:C6"/>
    <mergeCell ref="A30:C30"/>
    <mergeCell ref="A1:C2"/>
    <mergeCell ref="J3:O3"/>
    <mergeCell ref="F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U136"/>
  <sheetViews>
    <sheetView zoomScaleNormal="100" workbookViewId="0">
      <pane xSplit="4" ySplit="4" topLeftCell="E5" activePane="bottomRight" state="frozen"/>
      <selection pane="topRight" activeCell="E1" sqref="E1"/>
      <selection pane="bottomLeft" activeCell="A3" sqref="A3"/>
      <selection pane="bottomRight" activeCell="F77" sqref="F77"/>
    </sheetView>
  </sheetViews>
  <sheetFormatPr defaultRowHeight="15" x14ac:dyDescent="0.25"/>
  <cols>
    <col min="1" max="1" width="19.7109375" style="12" bestFit="1" customWidth="1"/>
    <col min="2" max="2" width="22.5703125" style="4" bestFit="1" customWidth="1"/>
    <col min="3" max="3" width="8.140625" style="4" bestFit="1" customWidth="1"/>
    <col min="4" max="4" width="12.140625" style="15" customWidth="1"/>
    <col min="5" max="7" width="11.140625" style="165" customWidth="1"/>
    <col min="8" max="8" width="11.140625" style="26" customWidth="1"/>
    <col min="9" max="9" width="3.7109375" style="26" customWidth="1"/>
    <col min="10" max="15" width="11.140625" style="26" customWidth="1"/>
    <col min="16" max="17" width="9.140625" style="4"/>
    <col min="18" max="18" width="3.7109375" style="26" customWidth="1"/>
    <col min="19" max="19" width="8.85546875" style="26" customWidth="1"/>
    <col min="20" max="22" width="10.7109375" style="26" customWidth="1"/>
    <col min="23" max="23" width="12.5703125" style="26" customWidth="1"/>
    <col min="24" max="24" width="10.7109375" style="26" customWidth="1"/>
    <col min="25" max="25" width="8.85546875" style="26" customWidth="1"/>
    <col min="26" max="16384" width="9.140625" style="4"/>
  </cols>
  <sheetData>
    <row r="1" spans="1:28" ht="15" customHeight="1" x14ac:dyDescent="0.25">
      <c r="A1" s="227" t="s">
        <v>12</v>
      </c>
      <c r="B1" s="228"/>
      <c r="C1" s="228"/>
      <c r="D1" s="40"/>
      <c r="E1" s="164"/>
      <c r="F1" s="164"/>
      <c r="G1" s="164"/>
      <c r="H1" s="110"/>
      <c r="I1" s="110"/>
      <c r="J1" s="110"/>
      <c r="K1" s="110"/>
      <c r="L1" s="110"/>
      <c r="M1" s="110"/>
      <c r="N1" s="110"/>
      <c r="O1" s="110"/>
      <c r="R1" s="110"/>
      <c r="S1" s="40"/>
      <c r="T1" s="40"/>
      <c r="U1" s="40"/>
      <c r="V1" s="40"/>
      <c r="W1" s="40"/>
      <c r="X1" s="40"/>
      <c r="Y1" s="40"/>
    </row>
    <row r="2" spans="1:28" ht="15" customHeight="1" x14ac:dyDescent="0.25">
      <c r="A2" s="229"/>
      <c r="B2" s="230"/>
      <c r="C2" s="230"/>
      <c r="D2" s="40"/>
      <c r="E2" s="164"/>
      <c r="F2" s="164"/>
      <c r="G2" s="164"/>
      <c r="H2" s="110"/>
      <c r="I2" s="110"/>
      <c r="J2" s="110"/>
      <c r="K2" s="110"/>
      <c r="L2" s="110"/>
      <c r="M2" s="110"/>
      <c r="N2" s="110"/>
      <c r="O2" s="110"/>
      <c r="R2" s="110"/>
      <c r="S2" s="40"/>
      <c r="T2" s="40"/>
      <c r="U2" s="40"/>
      <c r="V2" s="40"/>
      <c r="W2" s="40"/>
      <c r="X2" s="40"/>
      <c r="Y2" s="40"/>
    </row>
    <row r="3" spans="1:28" s="5" customFormat="1" x14ac:dyDescent="0.25">
      <c r="A3" s="10"/>
      <c r="D3" s="14"/>
      <c r="E3" s="33"/>
      <c r="F3" s="231">
        <v>2024</v>
      </c>
      <c r="G3" s="232"/>
      <c r="H3" s="33"/>
      <c r="I3" s="33"/>
      <c r="J3" s="33"/>
      <c r="K3" s="33"/>
      <c r="L3" s="33"/>
      <c r="M3" s="33">
        <v>2023</v>
      </c>
      <c r="N3" s="33"/>
      <c r="O3" s="33"/>
      <c r="R3" s="33"/>
      <c r="S3" s="202">
        <v>2022</v>
      </c>
      <c r="T3" s="204"/>
      <c r="U3" s="75"/>
      <c r="V3" s="75"/>
      <c r="W3" s="75"/>
      <c r="X3" s="75"/>
      <c r="Y3" s="33"/>
    </row>
    <row r="4" spans="1:28" s="5" customFormat="1" ht="107.25" customHeight="1" x14ac:dyDescent="0.25">
      <c r="A4" s="5" t="s">
        <v>1</v>
      </c>
      <c r="B4" s="5" t="s">
        <v>2</v>
      </c>
      <c r="C4" s="5" t="s">
        <v>3</v>
      </c>
      <c r="D4" s="49" t="s">
        <v>886</v>
      </c>
      <c r="E4" s="184" t="s">
        <v>885</v>
      </c>
      <c r="F4" s="163" t="s">
        <v>293</v>
      </c>
      <c r="G4" s="163" t="s">
        <v>4</v>
      </c>
      <c r="H4" s="95" t="s">
        <v>5</v>
      </c>
      <c r="I4" s="145"/>
      <c r="J4" s="141" t="s">
        <v>395</v>
      </c>
      <c r="K4" s="136" t="s">
        <v>229</v>
      </c>
      <c r="L4" s="116" t="s">
        <v>293</v>
      </c>
      <c r="M4" s="116" t="s">
        <v>4</v>
      </c>
      <c r="N4" s="105" t="s">
        <v>549</v>
      </c>
      <c r="O4" s="95" t="s">
        <v>5</v>
      </c>
      <c r="P4" s="96" t="s">
        <v>546</v>
      </c>
      <c r="Q4" s="97" t="s">
        <v>547</v>
      </c>
      <c r="R4" s="42"/>
      <c r="S4" s="44" t="s">
        <v>4</v>
      </c>
      <c r="T4" s="59" t="s">
        <v>62</v>
      </c>
      <c r="U4" s="73" t="s">
        <v>229</v>
      </c>
      <c r="V4" s="79" t="s">
        <v>293</v>
      </c>
      <c r="W4" s="111" t="s">
        <v>395</v>
      </c>
      <c r="X4" s="93" t="s">
        <v>466</v>
      </c>
      <c r="Y4" s="33" t="s">
        <v>34</v>
      </c>
      <c r="Z4" s="95" t="s">
        <v>5</v>
      </c>
      <c r="AA4" s="96" t="s">
        <v>546</v>
      </c>
      <c r="AB4" s="97" t="s">
        <v>547</v>
      </c>
    </row>
    <row r="5" spans="1:28" x14ac:dyDescent="0.25">
      <c r="A5" s="221" t="s">
        <v>13</v>
      </c>
      <c r="B5" s="222"/>
      <c r="C5" s="223"/>
      <c r="D5" s="24"/>
      <c r="H5" s="125"/>
      <c r="I5" s="149"/>
      <c r="J5" s="140"/>
      <c r="K5" s="134"/>
      <c r="L5" s="115"/>
      <c r="M5" s="113"/>
      <c r="N5" s="92"/>
      <c r="O5" s="125"/>
      <c r="P5" s="96"/>
      <c r="Q5" s="97"/>
      <c r="R5" s="92"/>
      <c r="S5" s="35"/>
      <c r="T5" s="38"/>
      <c r="U5" s="58"/>
      <c r="V5" s="70"/>
      <c r="W5" s="92"/>
      <c r="X5" s="89"/>
      <c r="Y5" s="35"/>
      <c r="Z5" s="95"/>
      <c r="AA5" s="96"/>
      <c r="AB5" s="97"/>
    </row>
    <row r="6" spans="1:28" s="52" customFormat="1" x14ac:dyDescent="0.25">
      <c r="A6" s="51" t="s">
        <v>380</v>
      </c>
      <c r="B6" s="65" t="s">
        <v>36</v>
      </c>
      <c r="C6" s="52">
        <v>2004</v>
      </c>
      <c r="D6" s="1">
        <f>Q6+G6+F6+E6</f>
        <v>841</v>
      </c>
      <c r="E6" s="177">
        <f>9+6</f>
        <v>15</v>
      </c>
      <c r="F6" s="50">
        <f>48+33+12+12</f>
        <v>105</v>
      </c>
      <c r="G6" s="50"/>
      <c r="H6" s="120"/>
      <c r="I6" s="22"/>
      <c r="J6" s="50"/>
      <c r="K6" s="50">
        <f>15</f>
        <v>15</v>
      </c>
      <c r="L6" s="50">
        <f>18+51</f>
        <v>69</v>
      </c>
      <c r="M6" s="50"/>
      <c r="N6" s="50">
        <f>AB6</f>
        <v>637</v>
      </c>
      <c r="O6" s="120"/>
      <c r="P6" s="96">
        <f>SUM(J6:N6)</f>
        <v>721</v>
      </c>
      <c r="Q6" s="97">
        <f t="shared" ref="Q6:Q77" si="0">IF(C6=2007, P6/3,P6)+O6</f>
        <v>721</v>
      </c>
      <c r="R6" s="22"/>
      <c r="S6" s="26"/>
      <c r="T6" s="26"/>
      <c r="U6" s="26"/>
      <c r="V6" s="26">
        <f>18+6</f>
        <v>24</v>
      </c>
      <c r="W6" s="26"/>
      <c r="X6" s="26">
        <f>15+18</f>
        <v>33</v>
      </c>
      <c r="Y6" s="26">
        <f>580</f>
        <v>580</v>
      </c>
      <c r="Z6" s="95"/>
      <c r="AA6" s="96">
        <f>SUM(S6:Y6)</f>
        <v>637</v>
      </c>
      <c r="AB6" s="97">
        <f t="shared" ref="AB6:AB16" si="1">IF(C6=2006, AA6/3,AA6)+Z6</f>
        <v>637</v>
      </c>
    </row>
    <row r="7" spans="1:28" s="3" customFormat="1" x14ac:dyDescent="0.25">
      <c r="A7" s="11" t="s">
        <v>365</v>
      </c>
      <c r="B7" s="19" t="s">
        <v>36</v>
      </c>
      <c r="C7" s="3">
        <v>2006</v>
      </c>
      <c r="D7" s="1">
        <f t="shared" ref="D7:D70" si="2">Q7+G7+F7+E7</f>
        <v>529</v>
      </c>
      <c r="E7" s="177">
        <f>6+6+6</f>
        <v>18</v>
      </c>
      <c r="F7" s="50">
        <f>39+18+12+12</f>
        <v>81</v>
      </c>
      <c r="G7" s="50"/>
      <c r="H7" s="120"/>
      <c r="I7" s="22"/>
      <c r="J7" s="50">
        <f>12</f>
        <v>12</v>
      </c>
      <c r="K7" s="50"/>
      <c r="L7" s="50">
        <f>33</f>
        <v>33</v>
      </c>
      <c r="M7" s="50">
        <f>27+6</f>
        <v>33</v>
      </c>
      <c r="N7" s="50">
        <f t="shared" ref="N7:N16" si="3">AB7</f>
        <v>352</v>
      </c>
      <c r="O7" s="120"/>
      <c r="P7" s="96">
        <f t="shared" ref="P7:P121" si="4">SUM(J7:N7)</f>
        <v>430</v>
      </c>
      <c r="Q7" s="97">
        <f t="shared" si="0"/>
        <v>430</v>
      </c>
      <c r="R7" s="22"/>
      <c r="S7" s="13"/>
      <c r="T7" s="13"/>
      <c r="U7" s="13"/>
      <c r="V7" s="13">
        <f>57</f>
        <v>57</v>
      </c>
      <c r="W7" s="13">
        <f>9+3</f>
        <v>12</v>
      </c>
      <c r="X7" s="13">
        <f>27+12</f>
        <v>39</v>
      </c>
      <c r="Y7" s="13">
        <v>948</v>
      </c>
      <c r="Z7" s="95"/>
      <c r="AA7" s="96">
        <f t="shared" ref="AA7:AA16" si="5">SUM(S7:Y7)</f>
        <v>1056</v>
      </c>
      <c r="AB7" s="97">
        <f t="shared" si="1"/>
        <v>352</v>
      </c>
    </row>
    <row r="8" spans="1:28" s="3" customFormat="1" x14ac:dyDescent="0.25">
      <c r="A8" s="11" t="s">
        <v>367</v>
      </c>
      <c r="B8" s="19" t="s">
        <v>36</v>
      </c>
      <c r="C8" s="3">
        <v>2007</v>
      </c>
      <c r="D8" s="1">
        <f t="shared" si="2"/>
        <v>298</v>
      </c>
      <c r="E8" s="177">
        <f>3+6</f>
        <v>9</v>
      </c>
      <c r="F8" s="50">
        <f>0+12</f>
        <v>12</v>
      </c>
      <c r="G8" s="50"/>
      <c r="H8" s="120"/>
      <c r="I8" s="22"/>
      <c r="J8" s="50"/>
      <c r="K8" s="50">
        <f>15</f>
        <v>15</v>
      </c>
      <c r="L8" s="50">
        <f>255</f>
        <v>255</v>
      </c>
      <c r="M8" s="50">
        <f>15</f>
        <v>15</v>
      </c>
      <c r="N8" s="50">
        <f>AB8</f>
        <v>528</v>
      </c>
      <c r="O8" s="120">
        <f>6</f>
        <v>6</v>
      </c>
      <c r="P8" s="96">
        <f>SUM(J8:N8)</f>
        <v>813</v>
      </c>
      <c r="Q8" s="97">
        <f t="shared" si="0"/>
        <v>277</v>
      </c>
      <c r="R8" s="22"/>
      <c r="S8" s="13"/>
      <c r="T8" s="13"/>
      <c r="U8" s="13"/>
      <c r="V8" s="13">
        <f>51</f>
        <v>51</v>
      </c>
      <c r="W8" s="13">
        <f>12+3</f>
        <v>15</v>
      </c>
      <c r="X8" s="13">
        <f>21+12</f>
        <v>33</v>
      </c>
      <c r="Y8" s="13">
        <v>429</v>
      </c>
      <c r="Z8" s="95"/>
      <c r="AA8" s="96">
        <f>SUM(S8:Y8)</f>
        <v>528</v>
      </c>
      <c r="AB8" s="97">
        <f>IF(C8=2010, AA8/3,AA8)+Z8</f>
        <v>528</v>
      </c>
    </row>
    <row r="9" spans="1:28" s="3" customFormat="1" x14ac:dyDescent="0.25">
      <c r="A9" s="11" t="s">
        <v>286</v>
      </c>
      <c r="B9" s="19" t="s">
        <v>0</v>
      </c>
      <c r="C9" s="3">
        <v>2006</v>
      </c>
      <c r="D9" s="1">
        <f t="shared" si="2"/>
        <v>386</v>
      </c>
      <c r="E9" s="177">
        <f>12+3</f>
        <v>15</v>
      </c>
      <c r="F9" s="50">
        <f>30+6</f>
        <v>36</v>
      </c>
      <c r="G9" s="50">
        <f>24+3</f>
        <v>27</v>
      </c>
      <c r="H9" s="120"/>
      <c r="I9" s="22"/>
      <c r="J9" s="50">
        <f>9</f>
        <v>9</v>
      </c>
      <c r="K9" s="50">
        <f>9</f>
        <v>9</v>
      </c>
      <c r="L9" s="50">
        <f>39</f>
        <v>39</v>
      </c>
      <c r="M9" s="50"/>
      <c r="N9" s="50">
        <f t="shared" si="3"/>
        <v>251</v>
      </c>
      <c r="O9" s="120"/>
      <c r="P9" s="96">
        <f t="shared" si="4"/>
        <v>308</v>
      </c>
      <c r="Q9" s="97">
        <f t="shared" si="0"/>
        <v>308</v>
      </c>
      <c r="R9" s="22"/>
      <c r="S9" s="13"/>
      <c r="T9" s="13"/>
      <c r="U9" s="13">
        <f>9</f>
        <v>9</v>
      </c>
      <c r="V9" s="13">
        <f>30+6</f>
        <v>36</v>
      </c>
      <c r="W9" s="13">
        <f>3+6+6</f>
        <v>15</v>
      </c>
      <c r="X9" s="13">
        <f>18+9+3</f>
        <v>30</v>
      </c>
      <c r="Y9" s="13">
        <f>663</f>
        <v>663</v>
      </c>
      <c r="Z9" s="95"/>
      <c r="AA9" s="96">
        <f t="shared" si="5"/>
        <v>753</v>
      </c>
      <c r="AB9" s="97">
        <f t="shared" si="1"/>
        <v>251</v>
      </c>
    </row>
    <row r="10" spans="1:28" s="52" customFormat="1" x14ac:dyDescent="0.25">
      <c r="A10" s="51" t="s">
        <v>9</v>
      </c>
      <c r="B10" s="65" t="s">
        <v>63</v>
      </c>
      <c r="C10" s="52">
        <v>2005</v>
      </c>
      <c r="D10" s="1">
        <f t="shared" si="2"/>
        <v>447.14814814814815</v>
      </c>
      <c r="E10" s="177">
        <f>9</f>
        <v>9</v>
      </c>
      <c r="F10" s="50">
        <f>45+9</f>
        <v>54</v>
      </c>
      <c r="G10" s="50"/>
      <c r="H10" s="120"/>
      <c r="I10" s="22"/>
      <c r="J10" s="50"/>
      <c r="K10" s="50">
        <f>12</f>
        <v>12</v>
      </c>
      <c r="L10" s="50">
        <f>45</f>
        <v>45</v>
      </c>
      <c r="M10" s="50">
        <f>3+3</f>
        <v>6</v>
      </c>
      <c r="N10" s="50">
        <f t="shared" si="3"/>
        <v>321.14814814814815</v>
      </c>
      <c r="O10" s="120"/>
      <c r="P10" s="96">
        <f t="shared" si="4"/>
        <v>384.14814814814815</v>
      </c>
      <c r="Q10" s="97">
        <f t="shared" si="0"/>
        <v>384.14814814814815</v>
      </c>
      <c r="R10" s="22"/>
      <c r="S10" s="26">
        <f>0</f>
        <v>0</v>
      </c>
      <c r="T10" s="26">
        <v>30</v>
      </c>
      <c r="U10" s="26">
        <f>3</f>
        <v>3</v>
      </c>
      <c r="V10" s="26">
        <f>12</f>
        <v>12</v>
      </c>
      <c r="W10" s="26"/>
      <c r="X10" s="26">
        <f>6+3+6</f>
        <v>15</v>
      </c>
      <c r="Y10" s="26">
        <v>261.14814814814815</v>
      </c>
      <c r="Z10" s="95"/>
      <c r="AA10" s="96">
        <f t="shared" si="5"/>
        <v>321.14814814814815</v>
      </c>
      <c r="AB10" s="97">
        <f t="shared" si="1"/>
        <v>321.14814814814815</v>
      </c>
    </row>
    <row r="11" spans="1:28" s="3" customFormat="1" x14ac:dyDescent="0.25">
      <c r="A11" s="60" t="s">
        <v>165</v>
      </c>
      <c r="B11" s="85" t="s">
        <v>64</v>
      </c>
      <c r="C11" s="62">
        <v>2007</v>
      </c>
      <c r="D11" s="1">
        <f t="shared" si="2"/>
        <v>233</v>
      </c>
      <c r="E11" s="177"/>
      <c r="F11" s="50">
        <f>3</f>
        <v>3</v>
      </c>
      <c r="G11" s="50">
        <f>24</f>
        <v>24</v>
      </c>
      <c r="H11" s="120">
        <f>6</f>
        <v>6</v>
      </c>
      <c r="I11" s="22"/>
      <c r="J11" s="50"/>
      <c r="K11" s="50">
        <f>12</f>
        <v>12</v>
      </c>
      <c r="L11" s="50">
        <f>162</f>
        <v>162</v>
      </c>
      <c r="M11" s="50">
        <f>6+6</f>
        <v>12</v>
      </c>
      <c r="N11" s="50">
        <f>AB11</f>
        <v>20</v>
      </c>
      <c r="O11" s="120"/>
      <c r="P11" s="96">
        <f>SUM(J11:N11)</f>
        <v>206</v>
      </c>
      <c r="Q11" s="97">
        <f>IF(C11=2011, P11/3,P11)+O11</f>
        <v>206</v>
      </c>
      <c r="R11" s="22"/>
      <c r="S11" s="13"/>
      <c r="T11" s="13">
        <v>20</v>
      </c>
      <c r="U11" s="13"/>
      <c r="V11" s="13"/>
      <c r="W11" s="13"/>
      <c r="X11" s="13"/>
      <c r="Y11" s="13"/>
      <c r="Z11" s="95"/>
      <c r="AA11" s="96">
        <f>SUM(S11:Y11)</f>
        <v>20</v>
      </c>
      <c r="AB11" s="97">
        <f>IF(C11=2010, AA11/3,AA11)+Z11</f>
        <v>20</v>
      </c>
    </row>
    <row r="12" spans="1:28" x14ac:dyDescent="0.25">
      <c r="A12" s="60" t="s">
        <v>223</v>
      </c>
      <c r="B12" s="65" t="s">
        <v>63</v>
      </c>
      <c r="C12" s="62">
        <v>2005</v>
      </c>
      <c r="D12" s="1">
        <f t="shared" si="2"/>
        <v>253</v>
      </c>
      <c r="E12" s="177"/>
      <c r="F12" s="50"/>
      <c r="G12" s="50"/>
      <c r="H12" s="120"/>
      <c r="I12" s="22"/>
      <c r="J12" s="50"/>
      <c r="K12" s="50"/>
      <c r="L12" s="50"/>
      <c r="M12" s="50">
        <f>9+3+3+3</f>
        <v>18</v>
      </c>
      <c r="N12" s="50">
        <f t="shared" si="3"/>
        <v>235</v>
      </c>
      <c r="O12" s="120"/>
      <c r="P12" s="96">
        <f t="shared" si="4"/>
        <v>253</v>
      </c>
      <c r="Q12" s="97">
        <f t="shared" si="0"/>
        <v>253</v>
      </c>
      <c r="R12" s="22"/>
      <c r="T12" s="26">
        <v>0</v>
      </c>
      <c r="V12" s="26">
        <f>3</f>
        <v>3</v>
      </c>
      <c r="X12" s="26">
        <f>0+3+6</f>
        <v>9</v>
      </c>
      <c r="Y12" s="26">
        <f>223</f>
        <v>223</v>
      </c>
      <c r="Z12" s="95"/>
      <c r="AA12" s="96">
        <f t="shared" si="5"/>
        <v>235</v>
      </c>
      <c r="AB12" s="97">
        <f t="shared" si="1"/>
        <v>235</v>
      </c>
    </row>
    <row r="13" spans="1:28" s="3" customFormat="1" x14ac:dyDescent="0.25">
      <c r="A13" s="11" t="s">
        <v>285</v>
      </c>
      <c r="B13" s="19" t="s">
        <v>36</v>
      </c>
      <c r="C13" s="3">
        <v>2006</v>
      </c>
      <c r="D13" s="1">
        <f t="shared" si="2"/>
        <v>276</v>
      </c>
      <c r="E13" s="177">
        <f>6</f>
        <v>6</v>
      </c>
      <c r="F13" s="50">
        <f>12+12</f>
        <v>24</v>
      </c>
      <c r="G13" s="50"/>
      <c r="H13" s="120"/>
      <c r="I13" s="22"/>
      <c r="J13" s="50"/>
      <c r="K13" s="50"/>
      <c r="L13" s="50">
        <f>0</f>
        <v>0</v>
      </c>
      <c r="M13" s="50">
        <f>6</f>
        <v>6</v>
      </c>
      <c r="N13" s="50">
        <f t="shared" si="3"/>
        <v>240</v>
      </c>
      <c r="O13" s="120"/>
      <c r="P13" s="96">
        <f t="shared" si="4"/>
        <v>246</v>
      </c>
      <c r="Q13" s="97">
        <f t="shared" si="0"/>
        <v>246</v>
      </c>
      <c r="R13" s="22"/>
      <c r="S13" s="13"/>
      <c r="T13" s="13"/>
      <c r="U13" s="13">
        <f>12+3</f>
        <v>15</v>
      </c>
      <c r="V13" s="13">
        <f>36+18</f>
        <v>54</v>
      </c>
      <c r="W13" s="13">
        <f>6+3</f>
        <v>9</v>
      </c>
      <c r="X13" s="13">
        <f>6+12</f>
        <v>18</v>
      </c>
      <c r="Y13" s="13">
        <f>624</f>
        <v>624</v>
      </c>
      <c r="Z13" s="95"/>
      <c r="AA13" s="96">
        <f t="shared" si="5"/>
        <v>720</v>
      </c>
      <c r="AB13" s="97">
        <f t="shared" si="1"/>
        <v>240</v>
      </c>
    </row>
    <row r="14" spans="1:28" x14ac:dyDescent="0.25">
      <c r="A14" s="60" t="s">
        <v>379</v>
      </c>
      <c r="B14" s="65" t="s">
        <v>36</v>
      </c>
      <c r="C14" s="62">
        <v>2005</v>
      </c>
      <c r="D14" s="1">
        <f t="shared" si="2"/>
        <v>726</v>
      </c>
      <c r="E14" s="177">
        <f>9+6</f>
        <v>15</v>
      </c>
      <c r="F14" s="50">
        <f>33+12+12</f>
        <v>57</v>
      </c>
      <c r="G14" s="50"/>
      <c r="H14" s="120"/>
      <c r="I14" s="22"/>
      <c r="J14" s="50"/>
      <c r="K14" s="50"/>
      <c r="L14" s="50">
        <f>18</f>
        <v>18</v>
      </c>
      <c r="M14" s="50"/>
      <c r="N14" s="50">
        <f t="shared" si="3"/>
        <v>636</v>
      </c>
      <c r="O14" s="120"/>
      <c r="P14" s="96">
        <f t="shared" si="4"/>
        <v>654</v>
      </c>
      <c r="Q14" s="97">
        <f t="shared" si="0"/>
        <v>654</v>
      </c>
      <c r="R14" s="22"/>
      <c r="V14" s="26">
        <f>15+6</f>
        <v>21</v>
      </c>
      <c r="X14" s="26">
        <f>18</f>
        <v>18</v>
      </c>
      <c r="Y14" s="26">
        <f>597</f>
        <v>597</v>
      </c>
      <c r="Z14" s="95"/>
      <c r="AA14" s="96">
        <f t="shared" si="5"/>
        <v>636</v>
      </c>
      <c r="AB14" s="97">
        <f t="shared" si="1"/>
        <v>636</v>
      </c>
    </row>
    <row r="15" spans="1:28" x14ac:dyDescent="0.25">
      <c r="A15" s="60" t="s">
        <v>218</v>
      </c>
      <c r="B15" s="65" t="s">
        <v>112</v>
      </c>
      <c r="C15" s="62">
        <v>2004</v>
      </c>
      <c r="D15" s="1">
        <f t="shared" si="2"/>
        <v>286</v>
      </c>
      <c r="E15" s="177"/>
      <c r="F15" s="50"/>
      <c r="G15" s="50"/>
      <c r="H15" s="120"/>
      <c r="I15" s="22"/>
      <c r="J15" s="50"/>
      <c r="K15" s="50"/>
      <c r="L15" s="50"/>
      <c r="M15" s="50"/>
      <c r="N15" s="50">
        <f t="shared" si="3"/>
        <v>286</v>
      </c>
      <c r="O15" s="120"/>
      <c r="P15" s="96">
        <f t="shared" si="4"/>
        <v>286</v>
      </c>
      <c r="Q15" s="97">
        <f t="shared" si="0"/>
        <v>286</v>
      </c>
      <c r="R15" s="22"/>
      <c r="T15" s="26">
        <f>6+18</f>
        <v>24</v>
      </c>
      <c r="V15" s="26">
        <f>3</f>
        <v>3</v>
      </c>
      <c r="Y15" s="26">
        <f>259</f>
        <v>259</v>
      </c>
      <c r="Z15" s="95"/>
      <c r="AA15" s="96">
        <f t="shared" si="5"/>
        <v>286</v>
      </c>
      <c r="AB15" s="97">
        <f t="shared" si="1"/>
        <v>286</v>
      </c>
    </row>
    <row r="16" spans="1:28" s="3" customFormat="1" x14ac:dyDescent="0.25">
      <c r="A16" s="60" t="s">
        <v>366</v>
      </c>
      <c r="B16" s="65" t="s">
        <v>36</v>
      </c>
      <c r="C16" s="62">
        <v>2006</v>
      </c>
      <c r="D16" s="1">
        <f t="shared" si="2"/>
        <v>411.66666666666669</v>
      </c>
      <c r="E16" s="177">
        <f>9+6+6</f>
        <v>21</v>
      </c>
      <c r="F16" s="50">
        <f>42+18+12+12</f>
        <v>84</v>
      </c>
      <c r="G16" s="50"/>
      <c r="H16" s="120"/>
      <c r="I16" s="22"/>
      <c r="J16" s="50">
        <f>6</f>
        <v>6</v>
      </c>
      <c r="K16" s="50"/>
      <c r="L16" s="50"/>
      <c r="M16" s="50">
        <f>24+6</f>
        <v>30</v>
      </c>
      <c r="N16" s="50">
        <f t="shared" si="3"/>
        <v>270.66666666666669</v>
      </c>
      <c r="O16" s="120"/>
      <c r="P16" s="96">
        <f t="shared" si="4"/>
        <v>306.66666666666669</v>
      </c>
      <c r="Q16" s="97">
        <f t="shared" si="0"/>
        <v>306.66666666666669</v>
      </c>
      <c r="R16" s="22"/>
      <c r="S16" s="13"/>
      <c r="T16" s="13"/>
      <c r="U16" s="13"/>
      <c r="V16" s="13">
        <f>54</f>
        <v>54</v>
      </c>
      <c r="W16" s="13">
        <f>0+3</f>
        <v>3</v>
      </c>
      <c r="X16" s="13">
        <f>12+12</f>
        <v>24</v>
      </c>
      <c r="Y16" s="13">
        <v>731</v>
      </c>
      <c r="Z16" s="95"/>
      <c r="AA16" s="96">
        <f t="shared" si="5"/>
        <v>812</v>
      </c>
      <c r="AB16" s="97">
        <f t="shared" si="1"/>
        <v>270.66666666666669</v>
      </c>
    </row>
    <row r="17" spans="1:47" x14ac:dyDescent="0.25">
      <c r="A17" s="12" t="s">
        <v>638</v>
      </c>
      <c r="B17" s="12" t="s">
        <v>233</v>
      </c>
      <c r="C17" s="4">
        <v>1995</v>
      </c>
      <c r="D17" s="1">
        <f t="shared" si="2"/>
        <v>273</v>
      </c>
      <c r="H17" s="120"/>
      <c r="L17" s="26">
        <f>48</f>
        <v>48</v>
      </c>
      <c r="N17" s="26">
        <v>225</v>
      </c>
      <c r="O17" s="120"/>
      <c r="P17" s="96">
        <f t="shared" si="4"/>
        <v>273</v>
      </c>
      <c r="Q17" s="97">
        <f t="shared" si="0"/>
        <v>273</v>
      </c>
    </row>
    <row r="18" spans="1:47" s="27" customFormat="1" x14ac:dyDescent="0.25">
      <c r="A18" s="224" t="s">
        <v>14</v>
      </c>
      <c r="B18" s="225"/>
      <c r="C18" s="226"/>
      <c r="D18" s="22"/>
      <c r="E18" s="177"/>
      <c r="F18" s="50"/>
      <c r="G18" s="50"/>
      <c r="H18" s="50"/>
      <c r="I18" s="22"/>
      <c r="J18" s="50"/>
      <c r="K18" s="50"/>
      <c r="L18" s="50"/>
      <c r="M18" s="50"/>
      <c r="N18" s="50"/>
      <c r="O18" s="50"/>
      <c r="P18" s="68"/>
      <c r="Q18" s="97">
        <f t="shared" si="0"/>
        <v>0</v>
      </c>
      <c r="R18" s="22"/>
      <c r="S18" s="22"/>
      <c r="T18" s="22"/>
      <c r="U18" s="22"/>
      <c r="V18" s="22"/>
      <c r="W18" s="22"/>
      <c r="X18" s="22"/>
      <c r="Y18" s="22"/>
      <c r="Z18" s="68"/>
      <c r="AA18" s="68"/>
      <c r="AB18" s="68"/>
    </row>
    <row r="19" spans="1:47" s="3" customFormat="1" x14ac:dyDescent="0.25">
      <c r="A19" s="60" t="s">
        <v>197</v>
      </c>
      <c r="B19" s="65" t="s">
        <v>88</v>
      </c>
      <c r="C19" s="62">
        <v>2007</v>
      </c>
      <c r="D19" s="1">
        <f>Q19+G19+F19+E19</f>
        <v>1</v>
      </c>
      <c r="E19" s="177"/>
      <c r="F19" s="50"/>
      <c r="G19" s="50"/>
      <c r="H19" s="120"/>
      <c r="I19" s="22"/>
      <c r="J19" s="50"/>
      <c r="K19" s="50"/>
      <c r="L19" s="50"/>
      <c r="M19" s="50"/>
      <c r="N19" s="50">
        <f>AB19</f>
        <v>3</v>
      </c>
      <c r="O19" s="120"/>
      <c r="P19" s="96">
        <f>SUM(J19:N19)</f>
        <v>3</v>
      </c>
      <c r="Q19" s="97">
        <f>IF(C19=2007, P19/3,P19)+O19</f>
        <v>1</v>
      </c>
      <c r="R19" s="22"/>
      <c r="S19" s="13"/>
      <c r="T19" s="13">
        <f>3</f>
        <v>3</v>
      </c>
      <c r="U19" s="13"/>
      <c r="V19" s="13"/>
      <c r="W19" s="13"/>
      <c r="X19" s="13"/>
      <c r="Y19" s="13"/>
      <c r="Z19" s="95"/>
      <c r="AA19" s="96">
        <f>SUM(S19:Y19)</f>
        <v>3</v>
      </c>
      <c r="AB19" s="97">
        <f>IF(C19=2010, AA19/3,AA19)+Z19</f>
        <v>3</v>
      </c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s="27" customFormat="1" x14ac:dyDescent="0.25">
      <c r="A20" s="60" t="s">
        <v>714</v>
      </c>
      <c r="B20" s="65" t="s">
        <v>715</v>
      </c>
      <c r="C20" s="62">
        <v>2007</v>
      </c>
      <c r="D20" s="1">
        <f>Q20+G20+F20+E20</f>
        <v>6</v>
      </c>
      <c r="E20" s="177"/>
      <c r="F20" s="50"/>
      <c r="G20" s="50"/>
      <c r="H20" s="120"/>
      <c r="I20" s="22"/>
      <c r="J20" s="50"/>
      <c r="K20" s="50">
        <f>18</f>
        <v>18</v>
      </c>
      <c r="L20" s="50"/>
      <c r="M20" s="50"/>
      <c r="N20" s="50"/>
      <c r="O20" s="120"/>
      <c r="P20" s="96">
        <f>SUM(J20:N20)</f>
        <v>18</v>
      </c>
      <c r="Q20" s="97">
        <f>IF(C20=2007, P20/3,P20)+O20</f>
        <v>6</v>
      </c>
      <c r="R20" s="22"/>
      <c r="S20" s="13"/>
      <c r="T20" s="13"/>
      <c r="U20" s="13"/>
      <c r="V20" s="13"/>
      <c r="W20" s="13"/>
      <c r="X20" s="13"/>
      <c r="Y20" s="13"/>
      <c r="Z20" s="95"/>
      <c r="AA20" s="96"/>
      <c r="AB20" s="9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s="17" customFormat="1" x14ac:dyDescent="0.25">
      <c r="A21" s="60" t="s">
        <v>289</v>
      </c>
      <c r="B21" s="65" t="s">
        <v>233</v>
      </c>
      <c r="C21" s="62">
        <v>2006</v>
      </c>
      <c r="D21" s="1">
        <f>Q21+G21+F21+E21</f>
        <v>9</v>
      </c>
      <c r="E21" s="177"/>
      <c r="F21" s="50"/>
      <c r="G21" s="50">
        <f>6</f>
        <v>6</v>
      </c>
      <c r="H21" s="120"/>
      <c r="I21" s="22"/>
      <c r="J21" s="50">
        <f>3</f>
        <v>3</v>
      </c>
      <c r="K21" s="50"/>
      <c r="L21" s="50"/>
      <c r="M21" s="50"/>
      <c r="N21" s="50">
        <f>AB21</f>
        <v>0</v>
      </c>
      <c r="O21" s="120"/>
      <c r="P21" s="96">
        <f>SUM(J21:N21)</f>
        <v>3</v>
      </c>
      <c r="Q21" s="97">
        <f>IF(C21=2007, P21/3,P21)+O21</f>
        <v>3</v>
      </c>
      <c r="R21" s="22"/>
      <c r="S21" s="182"/>
      <c r="T21" s="182"/>
      <c r="U21" s="182">
        <f>0</f>
        <v>0</v>
      </c>
      <c r="V21" s="182"/>
      <c r="W21" s="182"/>
      <c r="X21" s="182"/>
      <c r="Y21" s="182"/>
      <c r="Z21" s="95"/>
      <c r="AA21" s="96">
        <f>SUM(S21:Y21)</f>
        <v>0</v>
      </c>
      <c r="AB21" s="97">
        <f>IF(C21=2006, AA21/3,AA21)+Z21</f>
        <v>0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 s="17" customFormat="1" x14ac:dyDescent="0.25">
      <c r="A22" s="60" t="s">
        <v>524</v>
      </c>
      <c r="B22" s="65" t="s">
        <v>525</v>
      </c>
      <c r="C22" s="62">
        <v>2005</v>
      </c>
      <c r="D22" s="1">
        <f>Q22+G22+F22+E22</f>
        <v>9</v>
      </c>
      <c r="E22" s="177"/>
      <c r="F22" s="50"/>
      <c r="G22" s="50"/>
      <c r="H22" s="120"/>
      <c r="I22" s="22"/>
      <c r="J22" s="50"/>
      <c r="K22" s="50"/>
      <c r="L22" s="50"/>
      <c r="M22" s="50"/>
      <c r="N22" s="50">
        <f>AB22</f>
        <v>9</v>
      </c>
      <c r="O22" s="120"/>
      <c r="P22" s="96">
        <f>SUM(J22:N22)</f>
        <v>9</v>
      </c>
      <c r="Q22" s="97">
        <f>IF(C22=2007, P22/3,P22)+O22</f>
        <v>9</v>
      </c>
      <c r="R22" s="22"/>
      <c r="S22" s="183"/>
      <c r="T22" s="183"/>
      <c r="U22" s="183"/>
      <c r="V22" s="183"/>
      <c r="W22" s="183"/>
      <c r="X22" s="183">
        <f>9</f>
        <v>9</v>
      </c>
      <c r="Y22" s="183"/>
      <c r="Z22" s="95"/>
      <c r="AA22" s="96">
        <f>SUM(S22:Y22)</f>
        <v>9</v>
      </c>
      <c r="AB22" s="97">
        <f>IF(C22=2006, AA22/3,AA22)+Z22</f>
        <v>9</v>
      </c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</row>
    <row r="23" spans="1:47" s="17" customFormat="1" x14ac:dyDescent="0.25">
      <c r="A23" s="60" t="s">
        <v>149</v>
      </c>
      <c r="B23" s="65" t="s">
        <v>63</v>
      </c>
      <c r="C23" s="62">
        <v>2007</v>
      </c>
      <c r="D23" s="1">
        <f>Q23+G23+F23+E23</f>
        <v>78</v>
      </c>
      <c r="E23" s="177">
        <f>9</f>
        <v>9</v>
      </c>
      <c r="F23" s="50">
        <f>6+9</f>
        <v>15</v>
      </c>
      <c r="G23" s="50"/>
      <c r="H23" s="120"/>
      <c r="I23" s="22"/>
      <c r="J23" s="50"/>
      <c r="K23" s="50"/>
      <c r="L23" s="50">
        <f>34+45</f>
        <v>79</v>
      </c>
      <c r="M23" s="50">
        <f>6+6</f>
        <v>12</v>
      </c>
      <c r="N23" s="50">
        <f>AB23</f>
        <v>62</v>
      </c>
      <c r="O23" s="120">
        <f>3</f>
        <v>3</v>
      </c>
      <c r="P23" s="96">
        <f>SUM(J23:N23)</f>
        <v>153</v>
      </c>
      <c r="Q23" s="97">
        <f>IF(C23=2007, P23/3,P23)+O23</f>
        <v>54</v>
      </c>
      <c r="R23" s="22"/>
      <c r="S23" s="13"/>
      <c r="T23" s="13">
        <v>15</v>
      </c>
      <c r="U23" s="13"/>
      <c r="V23" s="13">
        <f>17+3</f>
        <v>20</v>
      </c>
      <c r="W23" s="13">
        <f>0+3</f>
        <v>3</v>
      </c>
      <c r="X23" s="13">
        <f>12+6</f>
        <v>18</v>
      </c>
      <c r="Y23" s="13"/>
      <c r="Z23" s="95">
        <f>6</f>
        <v>6</v>
      </c>
      <c r="AA23" s="96">
        <f>SUM(S23:Y23)</f>
        <v>56</v>
      </c>
      <c r="AB23" s="97">
        <f>IF(C23=2010, AA23/3,AA23)+Z23</f>
        <v>62</v>
      </c>
    </row>
    <row r="24" spans="1:47" s="27" customFormat="1" x14ac:dyDescent="0.25">
      <c r="A24" s="11" t="s">
        <v>465</v>
      </c>
      <c r="B24" s="83" t="s">
        <v>0</v>
      </c>
      <c r="C24" s="17">
        <v>2006</v>
      </c>
      <c r="D24" s="1">
        <f>Q24+G24+F24+E24</f>
        <v>24</v>
      </c>
      <c r="E24" s="177">
        <f>3</f>
        <v>3</v>
      </c>
      <c r="F24" s="50">
        <f>4+6</f>
        <v>10</v>
      </c>
      <c r="G24" s="50"/>
      <c r="H24" s="120"/>
      <c r="I24" s="22"/>
      <c r="J24" s="50">
        <f>2</f>
        <v>2</v>
      </c>
      <c r="K24" s="50">
        <f>6</f>
        <v>6</v>
      </c>
      <c r="L24" s="50"/>
      <c r="M24" s="50"/>
      <c r="N24" s="50">
        <f>AB24</f>
        <v>3</v>
      </c>
      <c r="O24" s="120"/>
      <c r="P24" s="96">
        <f>SUM(J24:N24)</f>
        <v>11</v>
      </c>
      <c r="Q24" s="97">
        <f>IF(C24=2007, P24/3,P24)+O24</f>
        <v>11</v>
      </c>
      <c r="R24" s="22"/>
      <c r="S24" s="22"/>
      <c r="T24" s="22"/>
      <c r="U24" s="22"/>
      <c r="V24" s="13"/>
      <c r="W24" s="13">
        <f>6</f>
        <v>6</v>
      </c>
      <c r="X24" s="13">
        <f>3</f>
        <v>3</v>
      </c>
      <c r="Y24" s="13"/>
      <c r="Z24" s="95"/>
      <c r="AA24" s="96">
        <f>SUM(S24:Y24)</f>
        <v>9</v>
      </c>
      <c r="AB24" s="97">
        <f>IF(C24=2006, AA24/3,AA24)+Z24</f>
        <v>3</v>
      </c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1:47" s="3" customFormat="1" x14ac:dyDescent="0.25">
      <c r="A25" s="60" t="s">
        <v>528</v>
      </c>
      <c r="B25" s="65" t="s">
        <v>63</v>
      </c>
      <c r="C25" s="62">
        <v>2001</v>
      </c>
      <c r="D25" s="1">
        <f>Q25+G25+F25+E25</f>
        <v>42</v>
      </c>
      <c r="E25" s="177"/>
      <c r="F25" s="50">
        <f>9</f>
        <v>9</v>
      </c>
      <c r="G25" s="50"/>
      <c r="H25" s="120"/>
      <c r="I25" s="22"/>
      <c r="J25" s="50"/>
      <c r="K25" s="50"/>
      <c r="L25" s="50">
        <f>3</f>
        <v>3</v>
      </c>
      <c r="M25" s="50">
        <f>9+3+3</f>
        <v>15</v>
      </c>
      <c r="N25" s="50">
        <f>AB25</f>
        <v>15</v>
      </c>
      <c r="O25" s="120"/>
      <c r="P25" s="96">
        <f>SUM(J25:N25)</f>
        <v>33</v>
      </c>
      <c r="Q25" s="97">
        <f>IF(C25=2007, P25/3,P25)+O25</f>
        <v>33</v>
      </c>
      <c r="R25" s="22"/>
      <c r="S25" s="183"/>
      <c r="T25" s="183"/>
      <c r="U25" s="183"/>
      <c r="V25" s="183"/>
      <c r="W25" s="183"/>
      <c r="X25" s="183">
        <f>6+3+6</f>
        <v>15</v>
      </c>
      <c r="Y25" s="183"/>
      <c r="Z25" s="95"/>
      <c r="AA25" s="96">
        <f>SUM(S25:Y25)</f>
        <v>15</v>
      </c>
      <c r="AB25" s="97">
        <f>IF(C25=2006, AA25/3,AA25)+Z25</f>
        <v>15</v>
      </c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</row>
    <row r="26" spans="1:47" s="27" customFormat="1" x14ac:dyDescent="0.25">
      <c r="A26" s="60" t="s">
        <v>680</v>
      </c>
      <c r="B26" s="65" t="s">
        <v>482</v>
      </c>
      <c r="C26" s="62">
        <v>2007</v>
      </c>
      <c r="D26" s="1">
        <f>Q26+G26+F26+E26</f>
        <v>9</v>
      </c>
      <c r="E26" s="177"/>
      <c r="F26" s="50"/>
      <c r="G26" s="50"/>
      <c r="H26" s="120"/>
      <c r="I26" s="22"/>
      <c r="J26" s="50"/>
      <c r="K26" s="50">
        <f>6</f>
        <v>6</v>
      </c>
      <c r="L26" s="50">
        <f>21</f>
        <v>21</v>
      </c>
      <c r="M26" s="50"/>
      <c r="N26" s="50"/>
      <c r="O26" s="120"/>
      <c r="P26" s="96">
        <f>SUM(J26:N26)</f>
        <v>27</v>
      </c>
      <c r="Q26" s="97">
        <f>IF(C26=2007, P26/3,P26)+O26</f>
        <v>9</v>
      </c>
      <c r="R26" s="22"/>
      <c r="S26" s="13"/>
      <c r="T26" s="13"/>
      <c r="U26" s="13"/>
      <c r="V26" s="13"/>
      <c r="W26" s="13"/>
      <c r="X26" s="13"/>
      <c r="Y26" s="13"/>
      <c r="Z26" s="95"/>
      <c r="AA26" s="96"/>
      <c r="AB26" s="97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 s="27" customFormat="1" x14ac:dyDescent="0.25">
      <c r="A27" s="11" t="s">
        <v>368</v>
      </c>
      <c r="B27" s="19" t="s">
        <v>7</v>
      </c>
      <c r="C27" s="3">
        <v>2006</v>
      </c>
      <c r="D27" s="1">
        <f>Q27+G27+F27+E27</f>
        <v>109</v>
      </c>
      <c r="E27" s="177"/>
      <c r="F27" s="50"/>
      <c r="G27" s="50"/>
      <c r="H27" s="120"/>
      <c r="I27" s="22"/>
      <c r="J27" s="50"/>
      <c r="K27" s="50"/>
      <c r="L27" s="50"/>
      <c r="M27" s="50"/>
      <c r="N27" s="50">
        <f>AB27</f>
        <v>109</v>
      </c>
      <c r="O27" s="120"/>
      <c r="P27" s="96">
        <f>SUM(J27:N27)</f>
        <v>109</v>
      </c>
      <c r="Q27" s="97">
        <f>IF(C27=2007, P27/3,P27)+O27</f>
        <v>109</v>
      </c>
      <c r="R27" s="22"/>
      <c r="S27" s="13"/>
      <c r="T27" s="13"/>
      <c r="U27" s="13"/>
      <c r="V27" s="13">
        <f>18</f>
        <v>18</v>
      </c>
      <c r="W27" s="13"/>
      <c r="X27" s="13"/>
      <c r="Y27" s="13">
        <v>309</v>
      </c>
      <c r="Z27" s="95"/>
      <c r="AA27" s="96">
        <f>SUM(S27:Y27)</f>
        <v>327</v>
      </c>
      <c r="AB27" s="97">
        <f>IF(C27=2006, AA27/3,AA27)+Z27</f>
        <v>109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 s="3" customFormat="1" x14ac:dyDescent="0.25">
      <c r="A28" s="60" t="s">
        <v>215</v>
      </c>
      <c r="B28" s="65" t="s">
        <v>87</v>
      </c>
      <c r="C28" s="62">
        <v>2005</v>
      </c>
      <c r="D28" s="1">
        <f>Q28+G28+F28+E28</f>
        <v>3</v>
      </c>
      <c r="E28" s="177"/>
      <c r="F28" s="50"/>
      <c r="G28" s="50"/>
      <c r="H28" s="120"/>
      <c r="I28" s="22"/>
      <c r="J28" s="50"/>
      <c r="K28" s="50"/>
      <c r="L28" s="50"/>
      <c r="M28" s="50"/>
      <c r="N28" s="50">
        <f>AB28</f>
        <v>3</v>
      </c>
      <c r="O28" s="120"/>
      <c r="P28" s="96">
        <f>SUM(J28:N28)</f>
        <v>3</v>
      </c>
      <c r="Q28" s="97">
        <f>IF(C28=2007, P28/3,P28)+O28</f>
        <v>3</v>
      </c>
      <c r="R28" s="22"/>
      <c r="S28" s="26"/>
      <c r="T28" s="26">
        <v>0</v>
      </c>
      <c r="U28" s="26"/>
      <c r="V28" s="26">
        <f>3</f>
        <v>3</v>
      </c>
      <c r="W28" s="26"/>
      <c r="X28" s="26"/>
      <c r="Y28" s="26"/>
      <c r="Z28" s="95"/>
      <c r="AA28" s="96">
        <f>SUM(S28:Y28)</f>
        <v>3</v>
      </c>
      <c r="AB28" s="97">
        <f>IF(C28=2006, AA28/3,AA28)+Z28</f>
        <v>3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1:47" x14ac:dyDescent="0.25">
      <c r="A29" s="60" t="s">
        <v>536</v>
      </c>
      <c r="B29" s="65" t="s">
        <v>535</v>
      </c>
      <c r="C29" s="62">
        <v>2006</v>
      </c>
      <c r="D29" s="1">
        <f>Q29+G29+F29+E29</f>
        <v>22</v>
      </c>
      <c r="E29" s="177"/>
      <c r="F29" s="50"/>
      <c r="G29" s="50"/>
      <c r="H29" s="120"/>
      <c r="I29" s="22"/>
      <c r="J29" s="50"/>
      <c r="K29" s="50">
        <f>6</f>
        <v>6</v>
      </c>
      <c r="L29" s="50"/>
      <c r="M29" s="50"/>
      <c r="N29" s="50">
        <f>AB29</f>
        <v>16</v>
      </c>
      <c r="O29" s="120"/>
      <c r="P29" s="96">
        <f>SUM(J29:N29)</f>
        <v>22</v>
      </c>
      <c r="Q29" s="97">
        <f>IF(C29=2007, P29/3,P29)+O29</f>
        <v>22</v>
      </c>
      <c r="R29" s="22"/>
      <c r="X29" s="26">
        <f>0</f>
        <v>0</v>
      </c>
      <c r="Y29" s="26">
        <f>48</f>
        <v>48</v>
      </c>
      <c r="Z29" s="95"/>
      <c r="AA29" s="96">
        <f>SUM(S29:Y29)</f>
        <v>48</v>
      </c>
      <c r="AB29" s="97">
        <f>IF(C29=2006, AA29/3,AA29)+Z29</f>
        <v>16</v>
      </c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</row>
    <row r="30" spans="1:47" s="52" customFormat="1" x14ac:dyDescent="0.25">
      <c r="A30" s="60" t="s">
        <v>641</v>
      </c>
      <c r="B30" s="65" t="s">
        <v>642</v>
      </c>
      <c r="C30" s="62"/>
      <c r="D30" s="1">
        <f>Q30+G30+F30+E30</f>
        <v>6</v>
      </c>
      <c r="E30" s="177"/>
      <c r="F30" s="50"/>
      <c r="G30" s="50"/>
      <c r="H30" s="120"/>
      <c r="I30" s="22"/>
      <c r="J30" s="50"/>
      <c r="K30" s="50"/>
      <c r="L30" s="50">
        <f>6</f>
        <v>6</v>
      </c>
      <c r="M30" s="50"/>
      <c r="N30" s="50"/>
      <c r="O30" s="120"/>
      <c r="P30" s="96">
        <f>SUM(J30:N30)</f>
        <v>6</v>
      </c>
      <c r="Q30" s="97">
        <f>IF(C30=2007, P30/3,P30)+O30</f>
        <v>6</v>
      </c>
      <c r="R30" s="22"/>
      <c r="S30" s="183"/>
      <c r="T30" s="183"/>
      <c r="U30" s="183"/>
      <c r="V30" s="183"/>
      <c r="W30" s="183"/>
      <c r="X30" s="183"/>
      <c r="Y30" s="183"/>
      <c r="Z30" s="95"/>
      <c r="AA30" s="96"/>
      <c r="AB30" s="9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</row>
    <row r="31" spans="1:47" x14ac:dyDescent="0.25">
      <c r="A31" s="60" t="s">
        <v>640</v>
      </c>
      <c r="B31" s="65" t="s">
        <v>64</v>
      </c>
      <c r="C31" s="62"/>
      <c r="D31" s="1">
        <f>Q31+G31+F31+E31</f>
        <v>6</v>
      </c>
      <c r="E31" s="182"/>
      <c r="F31" s="182"/>
      <c r="G31" s="182"/>
      <c r="H31" s="120"/>
      <c r="I31" s="22"/>
      <c r="J31" s="182"/>
      <c r="K31" s="182"/>
      <c r="L31" s="182">
        <f>6</f>
        <v>6</v>
      </c>
      <c r="M31" s="182"/>
      <c r="N31" s="182"/>
      <c r="O31" s="120"/>
      <c r="P31" s="96">
        <f>SUM(J31:N31)</f>
        <v>6</v>
      </c>
      <c r="Q31" s="97">
        <f>IF(C31=2007, P31/3,P31)+O31</f>
        <v>6</v>
      </c>
      <c r="R31" s="22"/>
      <c r="S31" s="183"/>
      <c r="T31" s="183"/>
      <c r="U31" s="183"/>
      <c r="V31" s="183"/>
      <c r="W31" s="183"/>
      <c r="X31" s="183"/>
      <c r="Y31" s="183"/>
      <c r="Z31" s="95"/>
      <c r="AA31" s="96"/>
      <c r="AB31" s="9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</row>
    <row r="32" spans="1:47" s="3" customFormat="1" x14ac:dyDescent="0.25">
      <c r="A32" s="11" t="s">
        <v>636</v>
      </c>
      <c r="B32" s="12" t="s">
        <v>637</v>
      </c>
      <c r="C32" s="3">
        <v>2004</v>
      </c>
      <c r="D32" s="1">
        <f>Q32+G32+F32+E32</f>
        <v>193</v>
      </c>
      <c r="E32" s="165"/>
      <c r="F32" s="165"/>
      <c r="G32" s="165"/>
      <c r="H32" s="120"/>
      <c r="I32" s="26"/>
      <c r="J32" s="26"/>
      <c r="K32" s="26">
        <f>6</f>
        <v>6</v>
      </c>
      <c r="L32" s="26">
        <f>54</f>
        <v>54</v>
      </c>
      <c r="M32" s="26"/>
      <c r="N32" s="26">
        <f>133</f>
        <v>133</v>
      </c>
      <c r="O32" s="120"/>
      <c r="P32" s="96">
        <f>SUM(J32:N32)</f>
        <v>193</v>
      </c>
      <c r="Q32" s="97">
        <f>IF(C32=2007, P32/3,P32)+O32</f>
        <v>193</v>
      </c>
      <c r="R32" s="26"/>
      <c r="S32" s="26"/>
      <c r="T32" s="26"/>
      <c r="U32" s="26"/>
      <c r="V32" s="26"/>
      <c r="W32" s="26"/>
      <c r="X32" s="26"/>
      <c r="Y32" s="26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1:47" s="3" customFormat="1" x14ac:dyDescent="0.25">
      <c r="A33" s="77" t="s">
        <v>355</v>
      </c>
      <c r="B33" s="87" t="s">
        <v>87</v>
      </c>
      <c r="C33" s="3">
        <v>2007</v>
      </c>
      <c r="D33" s="1">
        <f>Q33+G33+F33+E33</f>
        <v>0</v>
      </c>
      <c r="E33" s="177"/>
      <c r="F33" s="50"/>
      <c r="G33" s="50"/>
      <c r="H33" s="120"/>
      <c r="I33" s="22"/>
      <c r="J33" s="50"/>
      <c r="K33" s="50"/>
      <c r="L33" s="50"/>
      <c r="M33" s="50"/>
      <c r="N33" s="50">
        <f>AB33</f>
        <v>0</v>
      </c>
      <c r="O33" s="120"/>
      <c r="P33" s="96">
        <f>SUM(J33:N33)</f>
        <v>0</v>
      </c>
      <c r="Q33" s="97">
        <f>IF(C33=2007, P33/3,P33)+O33</f>
        <v>0</v>
      </c>
      <c r="R33" s="22"/>
      <c r="S33" s="13"/>
      <c r="T33" s="13"/>
      <c r="U33" s="13"/>
      <c r="V33" s="13">
        <f>0</f>
        <v>0</v>
      </c>
      <c r="W33" s="13"/>
      <c r="X33" s="13"/>
      <c r="Y33" s="13"/>
      <c r="Z33" s="95"/>
      <c r="AA33" s="96">
        <f>SUM(S33:Y33)</f>
        <v>0</v>
      </c>
      <c r="AB33" s="97">
        <f>IF(C33=2010, AA33/3,AA33)+Z33</f>
        <v>0</v>
      </c>
    </row>
    <row r="34" spans="1:47" s="3" customFormat="1" ht="14.25" customHeight="1" x14ac:dyDescent="0.25">
      <c r="A34" s="60" t="s">
        <v>220</v>
      </c>
      <c r="B34" s="65" t="s">
        <v>88</v>
      </c>
      <c r="C34" s="62">
        <v>2001</v>
      </c>
      <c r="D34" s="1">
        <f>Q34+G34+F34+E34</f>
        <v>3</v>
      </c>
      <c r="E34" s="177"/>
      <c r="F34" s="50"/>
      <c r="G34" s="50"/>
      <c r="H34" s="120"/>
      <c r="I34" s="22"/>
      <c r="J34" s="50"/>
      <c r="K34" s="50"/>
      <c r="L34" s="50"/>
      <c r="M34" s="50"/>
      <c r="N34" s="50">
        <f>AB34</f>
        <v>3</v>
      </c>
      <c r="O34" s="120"/>
      <c r="P34" s="96">
        <f>SUM(J34:N34)</f>
        <v>3</v>
      </c>
      <c r="Q34" s="97">
        <f>IF(C34=2007, P34/3,P34)+O34</f>
        <v>3</v>
      </c>
      <c r="R34" s="22"/>
      <c r="S34" s="26"/>
      <c r="T34" s="26">
        <f>3</f>
        <v>3</v>
      </c>
      <c r="U34" s="26"/>
      <c r="V34" s="26"/>
      <c r="W34" s="26"/>
      <c r="X34" s="26"/>
      <c r="Y34" s="26"/>
      <c r="Z34" s="95"/>
      <c r="AA34" s="96">
        <f>SUM(S34:Y34)</f>
        <v>3</v>
      </c>
      <c r="AB34" s="97">
        <f>IF(C34=2006, AA34/3,AA34)+Z34</f>
        <v>3</v>
      </c>
    </row>
    <row r="35" spans="1:47" x14ac:dyDescent="0.25">
      <c r="A35" s="71" t="s">
        <v>290</v>
      </c>
      <c r="B35" s="65" t="s">
        <v>233</v>
      </c>
      <c r="C35" s="62">
        <v>2005</v>
      </c>
      <c r="D35" s="1">
        <f>Q35+G35+F35+E35</f>
        <v>0</v>
      </c>
      <c r="E35" s="177"/>
      <c r="F35" s="50"/>
      <c r="G35" s="50"/>
      <c r="H35" s="120"/>
      <c r="I35" s="22"/>
      <c r="J35" s="50"/>
      <c r="K35" s="50"/>
      <c r="L35" s="50"/>
      <c r="M35" s="50"/>
      <c r="N35" s="50">
        <f>AB35</f>
        <v>0</v>
      </c>
      <c r="O35" s="120"/>
      <c r="P35" s="96">
        <f>SUM(J35:N35)</f>
        <v>0</v>
      </c>
      <c r="Q35" s="97">
        <f>IF(C35=2007, P35/3,P35)+O35</f>
        <v>0</v>
      </c>
      <c r="R35" s="22"/>
      <c r="U35" s="26">
        <f>0</f>
        <v>0</v>
      </c>
      <c r="Z35" s="95"/>
      <c r="AA35" s="96">
        <f>SUM(S35:Y35)</f>
        <v>0</v>
      </c>
      <c r="AB35" s="97">
        <f>IF(C35=2006, AA35/3,AA35)+Z35</f>
        <v>0</v>
      </c>
    </row>
    <row r="36" spans="1:47" x14ac:dyDescent="0.25">
      <c r="A36" s="60" t="s">
        <v>189</v>
      </c>
      <c r="B36" s="85" t="s">
        <v>64</v>
      </c>
      <c r="C36" s="62">
        <v>2006</v>
      </c>
      <c r="D36" s="1">
        <f>Q36+G36+F36+E36</f>
        <v>31</v>
      </c>
      <c r="E36" s="177"/>
      <c r="F36" s="50"/>
      <c r="G36" s="50"/>
      <c r="H36" s="120"/>
      <c r="I36" s="22"/>
      <c r="J36" s="50"/>
      <c r="K36" s="50"/>
      <c r="L36" s="50"/>
      <c r="M36" s="50">
        <f>15</f>
        <v>15</v>
      </c>
      <c r="N36" s="50">
        <f>AB36</f>
        <v>16</v>
      </c>
      <c r="O36" s="120"/>
      <c r="P36" s="96">
        <f>SUM(J36:N36)</f>
        <v>31</v>
      </c>
      <c r="Q36" s="97">
        <f>IF(C36=2007, P36/3,P36)+O36</f>
        <v>31</v>
      </c>
      <c r="R36" s="22"/>
      <c r="S36" s="13"/>
      <c r="T36" s="13">
        <v>48</v>
      </c>
      <c r="U36" s="13"/>
      <c r="V36" s="13"/>
      <c r="W36" s="13"/>
      <c r="X36" s="13"/>
      <c r="Y36" s="13"/>
      <c r="Z36" s="95"/>
      <c r="AA36" s="96">
        <f>SUM(S36:Y36)</f>
        <v>48</v>
      </c>
      <c r="AB36" s="97">
        <f>IF(C36=2006, AA36/3,AA36)+Z36</f>
        <v>16</v>
      </c>
    </row>
    <row r="37" spans="1:47" s="52" customFormat="1" x14ac:dyDescent="0.25">
      <c r="A37" s="60" t="s">
        <v>196</v>
      </c>
      <c r="B37" s="65" t="s">
        <v>88</v>
      </c>
      <c r="C37" s="62">
        <v>2007</v>
      </c>
      <c r="D37" s="1">
        <f>Q37+G37+F37+E37</f>
        <v>3</v>
      </c>
      <c r="E37" s="177"/>
      <c r="F37" s="50"/>
      <c r="G37" s="50"/>
      <c r="H37" s="120"/>
      <c r="I37" s="22"/>
      <c r="J37" s="50"/>
      <c r="K37" s="50"/>
      <c r="L37" s="50"/>
      <c r="M37" s="50"/>
      <c r="N37" s="50">
        <f>AB37</f>
        <v>9</v>
      </c>
      <c r="O37" s="120"/>
      <c r="P37" s="96">
        <f>SUM(J37:N37)</f>
        <v>9</v>
      </c>
      <c r="Q37" s="97">
        <f>IF(C37=2007, P37/3,P37)+O37</f>
        <v>3</v>
      </c>
      <c r="R37" s="22"/>
      <c r="S37" s="13"/>
      <c r="T37" s="13">
        <f>9</f>
        <v>9</v>
      </c>
      <c r="U37" s="13"/>
      <c r="V37" s="13"/>
      <c r="W37" s="13"/>
      <c r="X37" s="13"/>
      <c r="Y37" s="13"/>
      <c r="Z37" s="95"/>
      <c r="AA37" s="96">
        <f>SUM(S37:Y37)</f>
        <v>9</v>
      </c>
      <c r="AB37" s="97">
        <f>IF(C37=2010, AA37/3,AA37)+Z37</f>
        <v>9</v>
      </c>
    </row>
    <row r="38" spans="1:47" s="52" customFormat="1" ht="14.25" customHeight="1" x14ac:dyDescent="0.25">
      <c r="A38" s="60" t="s">
        <v>212</v>
      </c>
      <c r="B38" s="65" t="s">
        <v>87</v>
      </c>
      <c r="C38" s="62">
        <v>2005</v>
      </c>
      <c r="D38" s="1">
        <f>Q38+G38+F38+E38</f>
        <v>5</v>
      </c>
      <c r="E38" s="177"/>
      <c r="F38" s="50"/>
      <c r="G38" s="50"/>
      <c r="H38" s="120"/>
      <c r="I38" s="22"/>
      <c r="J38" s="50"/>
      <c r="K38" s="50"/>
      <c r="L38" s="50"/>
      <c r="M38" s="50"/>
      <c r="N38" s="50">
        <f>AB38</f>
        <v>5</v>
      </c>
      <c r="O38" s="120"/>
      <c r="P38" s="96">
        <f>SUM(J38:N38)</f>
        <v>5</v>
      </c>
      <c r="Q38" s="97">
        <f>IF(C38=2007, P38/3,P38)+O38</f>
        <v>5</v>
      </c>
      <c r="R38" s="22"/>
      <c r="S38" s="26"/>
      <c r="T38" s="26">
        <v>3</v>
      </c>
      <c r="U38" s="26"/>
      <c r="V38" s="26">
        <f>2</f>
        <v>2</v>
      </c>
      <c r="W38" s="26"/>
      <c r="X38" s="26"/>
      <c r="Y38" s="26"/>
      <c r="Z38" s="95"/>
      <c r="AA38" s="96">
        <f>SUM(S38:Y38)</f>
        <v>5</v>
      </c>
      <c r="AB38" s="97">
        <f>IF(C38=2006, AA38/3,AA38)+Z38</f>
        <v>5</v>
      </c>
    </row>
    <row r="39" spans="1:47" s="52" customFormat="1" x14ac:dyDescent="0.25">
      <c r="A39" s="60" t="s">
        <v>190</v>
      </c>
      <c r="B39" s="65" t="s">
        <v>87</v>
      </c>
      <c r="C39" s="62">
        <v>2006</v>
      </c>
      <c r="D39" s="1">
        <f>Q39+G39+F39+E39</f>
        <v>36</v>
      </c>
      <c r="E39" s="177"/>
      <c r="F39" s="50"/>
      <c r="G39" s="50"/>
      <c r="H39" s="120"/>
      <c r="I39" s="22"/>
      <c r="J39" s="50"/>
      <c r="K39" s="50"/>
      <c r="L39" s="50"/>
      <c r="M39" s="50"/>
      <c r="N39" s="50">
        <f>AB39</f>
        <v>36</v>
      </c>
      <c r="O39" s="120"/>
      <c r="P39" s="96">
        <f>SUM(J39:N39)</f>
        <v>36</v>
      </c>
      <c r="Q39" s="97">
        <f>IF(C39=2007, P39/3,P39)+O39</f>
        <v>36</v>
      </c>
      <c r="R39" s="22"/>
      <c r="S39" s="13"/>
      <c r="T39" s="13">
        <f>45+24</f>
        <v>69</v>
      </c>
      <c r="U39" s="13"/>
      <c r="V39" s="13">
        <f>39</f>
        <v>39</v>
      </c>
      <c r="W39" s="13"/>
      <c r="X39" s="13"/>
      <c r="Y39" s="13"/>
      <c r="Z39" s="95"/>
      <c r="AA39" s="96">
        <f>SUM(S39:Y39)</f>
        <v>108</v>
      </c>
      <c r="AB39" s="97">
        <f>IF(C39=2006, AA39/3,AA39)+Z39</f>
        <v>36</v>
      </c>
    </row>
    <row r="40" spans="1:47" x14ac:dyDescent="0.25">
      <c r="A40" s="60" t="s">
        <v>513</v>
      </c>
      <c r="B40" s="65" t="s">
        <v>482</v>
      </c>
      <c r="C40" s="62">
        <v>2007</v>
      </c>
      <c r="D40" s="1">
        <f>Q40+G40+F40+E40</f>
        <v>0</v>
      </c>
      <c r="E40" s="177"/>
      <c r="F40" s="50"/>
      <c r="G40" s="50"/>
      <c r="H40" s="120"/>
      <c r="I40" s="22"/>
      <c r="J40" s="50"/>
      <c r="K40" s="50"/>
      <c r="L40" s="50"/>
      <c r="M40" s="50"/>
      <c r="N40" s="50">
        <f>AB40</f>
        <v>0</v>
      </c>
      <c r="O40" s="120"/>
      <c r="P40" s="96">
        <f>SUM(J40:N40)</f>
        <v>0</v>
      </c>
      <c r="Q40" s="97">
        <f>IF(C40=2007, P40/3,P40)+O40</f>
        <v>0</v>
      </c>
      <c r="R40" s="22"/>
      <c r="S40" s="13"/>
      <c r="T40" s="13"/>
      <c r="U40" s="13"/>
      <c r="V40" s="13"/>
      <c r="W40" s="13"/>
      <c r="X40" s="13">
        <f>0</f>
        <v>0</v>
      </c>
      <c r="Y40" s="13"/>
      <c r="Z40" s="95"/>
      <c r="AA40" s="96">
        <f>SUM(S40:Y40)</f>
        <v>0</v>
      </c>
      <c r="AB40" s="97">
        <f>IF(C40=2010, AA40/3,AA40)+Z40</f>
        <v>0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:47" x14ac:dyDescent="0.25">
      <c r="A41" s="60" t="s">
        <v>457</v>
      </c>
      <c r="B41" s="65" t="s">
        <v>36</v>
      </c>
      <c r="C41" s="62">
        <v>2006</v>
      </c>
      <c r="D41" s="1">
        <f>Q41+G41+F41+E41</f>
        <v>113</v>
      </c>
      <c r="E41" s="177">
        <f>0+6</f>
        <v>6</v>
      </c>
      <c r="F41" s="50">
        <f>15+12</f>
        <v>27</v>
      </c>
      <c r="G41" s="50"/>
      <c r="H41" s="120"/>
      <c r="I41" s="22"/>
      <c r="J41" s="50">
        <f>0</f>
        <v>0</v>
      </c>
      <c r="K41" s="50"/>
      <c r="L41" s="50">
        <f>18</f>
        <v>18</v>
      </c>
      <c r="M41" s="50"/>
      <c r="N41" s="50">
        <f>AB41</f>
        <v>62</v>
      </c>
      <c r="O41" s="120"/>
      <c r="P41" s="96">
        <f>SUM(J41:N41)</f>
        <v>80</v>
      </c>
      <c r="Q41" s="97">
        <f>IF(C41=2007, P41/3,P41)+O41</f>
        <v>80</v>
      </c>
      <c r="R41" s="22"/>
      <c r="S41" s="13"/>
      <c r="T41" s="13"/>
      <c r="U41" s="13"/>
      <c r="V41" s="13"/>
      <c r="W41" s="13">
        <f>6</f>
        <v>6</v>
      </c>
      <c r="X41" s="13">
        <f>16</f>
        <v>16</v>
      </c>
      <c r="Y41" s="13">
        <f>40</f>
        <v>40</v>
      </c>
      <c r="Z41" s="95"/>
      <c r="AA41" s="96">
        <f>SUM(S41:Y41)</f>
        <v>62</v>
      </c>
      <c r="AB41" s="97">
        <f>IF(C41=2010, AA41/3,AA41)+Z41</f>
        <v>62</v>
      </c>
    </row>
    <row r="42" spans="1:47" s="52" customFormat="1" x14ac:dyDescent="0.25">
      <c r="A42" s="60" t="s">
        <v>211</v>
      </c>
      <c r="B42" s="65" t="s">
        <v>112</v>
      </c>
      <c r="C42" s="62">
        <v>2005</v>
      </c>
      <c r="D42" s="1">
        <f>Q42+G42+F42+E42</f>
        <v>11</v>
      </c>
      <c r="E42" s="177"/>
      <c r="F42" s="50"/>
      <c r="G42" s="50"/>
      <c r="H42" s="120"/>
      <c r="I42" s="22"/>
      <c r="J42" s="50"/>
      <c r="K42" s="50"/>
      <c r="L42" s="50"/>
      <c r="M42" s="50"/>
      <c r="N42" s="50">
        <f>AB42</f>
        <v>11</v>
      </c>
      <c r="O42" s="120"/>
      <c r="P42" s="96">
        <f>SUM(J42:N42)</f>
        <v>11</v>
      </c>
      <c r="Q42" s="97">
        <f>IF(C42=2007, P42/3,P42)+O42</f>
        <v>11</v>
      </c>
      <c r="R42" s="22"/>
      <c r="S42" s="26"/>
      <c r="T42" s="26">
        <v>4</v>
      </c>
      <c r="U42" s="26"/>
      <c r="V42" s="26">
        <f>5+2</f>
        <v>7</v>
      </c>
      <c r="W42" s="26"/>
      <c r="X42" s="26"/>
      <c r="Y42" s="26"/>
      <c r="Z42" s="95"/>
      <c r="AA42" s="96">
        <f>SUM(S42:Y42)</f>
        <v>11</v>
      </c>
      <c r="AB42" s="97">
        <f>IF(C42=2006, AA42/3,AA42)+Z42</f>
        <v>11</v>
      </c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</row>
    <row r="43" spans="1:47" x14ac:dyDescent="0.25">
      <c r="A43" s="60" t="s">
        <v>458</v>
      </c>
      <c r="B43" s="65" t="s">
        <v>36</v>
      </c>
      <c r="C43" s="62">
        <v>2007</v>
      </c>
      <c r="D43" s="1">
        <f>Q43+G43+F43+E43</f>
        <v>24</v>
      </c>
      <c r="E43" s="177"/>
      <c r="F43" s="50"/>
      <c r="G43" s="50"/>
      <c r="H43" s="120"/>
      <c r="I43" s="22"/>
      <c r="J43" s="50"/>
      <c r="K43" s="50"/>
      <c r="L43" s="50">
        <f>4</f>
        <v>4</v>
      </c>
      <c r="M43" s="50">
        <f>10</f>
        <v>10</v>
      </c>
      <c r="N43" s="50">
        <f>AB43</f>
        <v>58</v>
      </c>
      <c r="O43" s="120"/>
      <c r="P43" s="96">
        <f>SUM(J43:N43)</f>
        <v>72</v>
      </c>
      <c r="Q43" s="97">
        <f>IF(C43=2007, P43/3,P43)+O43</f>
        <v>24</v>
      </c>
      <c r="R43" s="22"/>
      <c r="S43" s="13"/>
      <c r="T43" s="13"/>
      <c r="U43" s="13"/>
      <c r="V43" s="13"/>
      <c r="W43" s="13">
        <f>4</f>
        <v>4</v>
      </c>
      <c r="X43" s="13">
        <f>6+4</f>
        <v>10</v>
      </c>
      <c r="Y43" s="13">
        <f>44</f>
        <v>44</v>
      </c>
      <c r="Z43" s="95"/>
      <c r="AA43" s="96">
        <f>SUM(S43:Y43)</f>
        <v>58</v>
      </c>
      <c r="AB43" s="97">
        <f>IF(C43=2010, AA43/3,AA43)+Z43</f>
        <v>58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1:47" x14ac:dyDescent="0.25">
      <c r="A44" s="71" t="s">
        <v>639</v>
      </c>
      <c r="B44" s="65" t="s">
        <v>64</v>
      </c>
      <c r="C44" s="62">
        <v>2006</v>
      </c>
      <c r="D44" s="1">
        <f>Q44+G44+F44+E44</f>
        <v>69</v>
      </c>
      <c r="E44" s="177"/>
      <c r="F44" s="50">
        <f>33</f>
        <v>33</v>
      </c>
      <c r="G44" s="50">
        <f>18</f>
        <v>18</v>
      </c>
      <c r="H44" s="120"/>
      <c r="I44" s="22"/>
      <c r="J44" s="50"/>
      <c r="K44" s="50"/>
      <c r="L44" s="50">
        <f>18</f>
        <v>18</v>
      </c>
      <c r="M44" s="50"/>
      <c r="N44" s="50"/>
      <c r="O44" s="120"/>
      <c r="P44" s="96">
        <f>SUM(J44:N44)</f>
        <v>18</v>
      </c>
      <c r="Q44" s="97">
        <f>IF(C44=2007, P44/3,P44)+O44</f>
        <v>18</v>
      </c>
      <c r="R44" s="22"/>
      <c r="Z44" s="95"/>
      <c r="AA44" s="96"/>
      <c r="AB44" s="97"/>
    </row>
    <row r="45" spans="1:47" s="3" customFormat="1" x14ac:dyDescent="0.25">
      <c r="A45" s="60" t="s">
        <v>588</v>
      </c>
      <c r="B45" s="65" t="s">
        <v>7</v>
      </c>
      <c r="C45" s="62">
        <v>1996</v>
      </c>
      <c r="D45" s="1">
        <f>Q45+G45+F45+E45</f>
        <v>90</v>
      </c>
      <c r="E45" s="177"/>
      <c r="F45" s="50"/>
      <c r="G45" s="50"/>
      <c r="H45" s="120"/>
      <c r="I45" s="22"/>
      <c r="J45" s="50"/>
      <c r="K45" s="50">
        <f>18</f>
        <v>18</v>
      </c>
      <c r="L45" s="50">
        <f>42</f>
        <v>42</v>
      </c>
      <c r="M45" s="50">
        <f>30</f>
        <v>30</v>
      </c>
      <c r="N45" s="50"/>
      <c r="O45" s="120"/>
      <c r="P45" s="96">
        <f>SUM(J45:N45)</f>
        <v>90</v>
      </c>
      <c r="Q45" s="97">
        <f>IF(C45=2007, P45/3,P45)+O45</f>
        <v>90</v>
      </c>
      <c r="R45" s="22"/>
      <c r="S45" s="26"/>
      <c r="T45" s="26"/>
      <c r="U45" s="26"/>
      <c r="V45" s="26"/>
      <c r="W45" s="26"/>
      <c r="X45" s="26"/>
      <c r="Y45" s="26"/>
      <c r="Z45" s="95"/>
      <c r="AA45" s="96"/>
      <c r="AB45" s="97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spans="1:47" s="52" customFormat="1" x14ac:dyDescent="0.25">
      <c r="A46" s="233" t="s">
        <v>284</v>
      </c>
      <c r="B46" s="19" t="s">
        <v>233</v>
      </c>
      <c r="C46" s="3">
        <v>2007</v>
      </c>
      <c r="D46" s="1">
        <f>Q46+G46+F46+E46</f>
        <v>199</v>
      </c>
      <c r="E46" s="177"/>
      <c r="F46" s="50"/>
      <c r="G46" s="50">
        <f>27</f>
        <v>27</v>
      </c>
      <c r="H46" s="120"/>
      <c r="I46" s="22"/>
      <c r="J46" s="50">
        <f>6</f>
        <v>6</v>
      </c>
      <c r="K46" s="50">
        <f>18</f>
        <v>18</v>
      </c>
      <c r="L46" s="50">
        <f>267</f>
        <v>267</v>
      </c>
      <c r="M46" s="50">
        <f>18</f>
        <v>18</v>
      </c>
      <c r="N46" s="50">
        <f>AB46</f>
        <v>207</v>
      </c>
      <c r="O46" s="120"/>
      <c r="P46" s="96">
        <f>SUM(J46:N46)</f>
        <v>516</v>
      </c>
      <c r="Q46" s="97">
        <f>IF(C46=2007, P46/3,P46)+O46</f>
        <v>172</v>
      </c>
      <c r="R46" s="22"/>
      <c r="S46" s="13"/>
      <c r="T46" s="13"/>
      <c r="U46" s="13">
        <f>15</f>
        <v>15</v>
      </c>
      <c r="V46" s="13">
        <f>48</f>
        <v>48</v>
      </c>
      <c r="W46" s="13"/>
      <c r="X46" s="13">
        <f>24</f>
        <v>24</v>
      </c>
      <c r="Y46" s="13">
        <f>120</f>
        <v>120</v>
      </c>
      <c r="Z46" s="95"/>
      <c r="AA46" s="96">
        <f>SUM(S46:Y46)</f>
        <v>207</v>
      </c>
      <c r="AB46" s="97">
        <f>IF(C46=2010, AA46/3,AA46)+Z46</f>
        <v>207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1:47" s="3" customFormat="1" x14ac:dyDescent="0.25">
      <c r="A47" s="60" t="s">
        <v>350</v>
      </c>
      <c r="B47" s="65" t="s">
        <v>112</v>
      </c>
      <c r="C47" s="62">
        <v>2007</v>
      </c>
      <c r="D47" s="1">
        <f>Q47+G47+F47+E47</f>
        <v>4</v>
      </c>
      <c r="E47" s="177"/>
      <c r="F47" s="50"/>
      <c r="G47" s="50"/>
      <c r="H47" s="120"/>
      <c r="I47" s="22"/>
      <c r="J47" s="50"/>
      <c r="K47" s="50"/>
      <c r="L47" s="50"/>
      <c r="M47" s="50"/>
      <c r="N47" s="50">
        <f>AB47</f>
        <v>12</v>
      </c>
      <c r="O47" s="120"/>
      <c r="P47" s="96">
        <f>SUM(J47:N47)</f>
        <v>12</v>
      </c>
      <c r="Q47" s="97">
        <f>IF(C47=2007, P47/3,P47)+O47</f>
        <v>4</v>
      </c>
      <c r="R47" s="22"/>
      <c r="S47" s="13"/>
      <c r="T47" s="13"/>
      <c r="U47" s="13"/>
      <c r="V47" s="13">
        <f>12</f>
        <v>12</v>
      </c>
      <c r="W47" s="13"/>
      <c r="X47" s="13"/>
      <c r="Y47" s="13"/>
      <c r="Z47" s="95"/>
      <c r="AA47" s="96">
        <f>SUM(S47:Y47)</f>
        <v>12</v>
      </c>
      <c r="AB47" s="97">
        <f>IF(C47=2010, AA47/3,AA47)+Z47</f>
        <v>12</v>
      </c>
    </row>
    <row r="48" spans="1:47" x14ac:dyDescent="0.25">
      <c r="A48" s="60" t="s">
        <v>579</v>
      </c>
      <c r="B48" s="65" t="s">
        <v>233</v>
      </c>
      <c r="C48" s="62">
        <v>2007</v>
      </c>
      <c r="D48" s="1">
        <f>Q48+G48+F48+E48</f>
        <v>19.333333333333332</v>
      </c>
      <c r="E48" s="177"/>
      <c r="F48" s="50"/>
      <c r="G48" s="50">
        <f>2</f>
        <v>2</v>
      </c>
      <c r="H48" s="120"/>
      <c r="I48" s="22"/>
      <c r="J48" s="50">
        <f>11</f>
        <v>11</v>
      </c>
      <c r="K48" s="50">
        <f>0</f>
        <v>0</v>
      </c>
      <c r="L48" s="50">
        <f>22</f>
        <v>22</v>
      </c>
      <c r="M48" s="50">
        <f>19</f>
        <v>19</v>
      </c>
      <c r="N48" s="50"/>
      <c r="O48" s="120"/>
      <c r="P48" s="96">
        <f>SUM(J48:N48)</f>
        <v>52</v>
      </c>
      <c r="Q48" s="97">
        <f>IF(C48=2007, P48/3,P48)+O48</f>
        <v>17.333333333333332</v>
      </c>
      <c r="R48" s="22"/>
      <c r="S48" s="13"/>
      <c r="T48" s="13"/>
      <c r="U48" s="13"/>
      <c r="V48" s="13"/>
      <c r="W48" s="13"/>
      <c r="X48" s="13"/>
      <c r="Y48" s="13"/>
      <c r="Z48" s="95"/>
      <c r="AA48" s="96"/>
      <c r="AB48" s="97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1:47" s="3" customFormat="1" x14ac:dyDescent="0.25">
      <c r="A49" s="60" t="s">
        <v>222</v>
      </c>
      <c r="B49" s="65" t="s">
        <v>87</v>
      </c>
      <c r="C49" s="62">
        <v>2005</v>
      </c>
      <c r="D49" s="1">
        <f>Q49+G49+F49+E49</f>
        <v>0</v>
      </c>
      <c r="E49" s="177"/>
      <c r="F49" s="50"/>
      <c r="G49" s="50"/>
      <c r="H49" s="120"/>
      <c r="I49" s="22"/>
      <c r="J49" s="50"/>
      <c r="K49" s="50"/>
      <c r="L49" s="50"/>
      <c r="M49" s="50"/>
      <c r="N49" s="50">
        <f>AB49</f>
        <v>0</v>
      </c>
      <c r="O49" s="120"/>
      <c r="P49" s="96">
        <f>SUM(J49:N49)</f>
        <v>0</v>
      </c>
      <c r="Q49" s="97">
        <f>IF(C49=2007, P49/3,P49)+O49</f>
        <v>0</v>
      </c>
      <c r="R49" s="22"/>
      <c r="S49" s="26"/>
      <c r="T49" s="26">
        <v>0</v>
      </c>
      <c r="U49" s="26"/>
      <c r="V49" s="26"/>
      <c r="W49" s="26"/>
      <c r="X49" s="26"/>
      <c r="Y49" s="26"/>
      <c r="Z49" s="95"/>
      <c r="AA49" s="96">
        <f>SUM(S49:Y49)</f>
        <v>0</v>
      </c>
      <c r="AB49" s="97">
        <f>IF(C49=2006, AA49/3,AA49)+Z49</f>
        <v>0</v>
      </c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</row>
    <row r="50" spans="1:47" x14ac:dyDescent="0.25">
      <c r="A50" s="60" t="s">
        <v>198</v>
      </c>
      <c r="B50" s="65" t="s">
        <v>63</v>
      </c>
      <c r="C50" s="62">
        <v>2007</v>
      </c>
      <c r="D50" s="1">
        <f>Q50+G50+F50+E50</f>
        <v>111.33333333333333</v>
      </c>
      <c r="E50" s="177">
        <f>9</f>
        <v>9</v>
      </c>
      <c r="F50" s="50">
        <f>6+9</f>
        <v>15</v>
      </c>
      <c r="G50" s="50"/>
      <c r="H50" s="120"/>
      <c r="I50" s="22"/>
      <c r="J50" s="50"/>
      <c r="K50" s="50"/>
      <c r="L50" s="50">
        <f>39+45</f>
        <v>84</v>
      </c>
      <c r="M50" s="50">
        <f>6</f>
        <v>6</v>
      </c>
      <c r="N50" s="50">
        <f>AB50</f>
        <v>163</v>
      </c>
      <c r="O50" s="120">
        <f>3</f>
        <v>3</v>
      </c>
      <c r="P50" s="96">
        <f>SUM(J50:N50)</f>
        <v>253</v>
      </c>
      <c r="Q50" s="97">
        <f>IF(C50=2007, P50/3,P50)+O50</f>
        <v>87.333333333333329</v>
      </c>
      <c r="R50" s="22"/>
      <c r="S50" s="13"/>
      <c r="T50" s="13">
        <v>0</v>
      </c>
      <c r="U50" s="13"/>
      <c r="V50" s="13">
        <f>3</f>
        <v>3</v>
      </c>
      <c r="W50" s="13">
        <f>8+3+6</f>
        <v>17</v>
      </c>
      <c r="X50" s="13">
        <f>10+6</f>
        <v>16</v>
      </c>
      <c r="Y50" s="13">
        <v>121</v>
      </c>
      <c r="Z50" s="95">
        <f>6</f>
        <v>6</v>
      </c>
      <c r="AA50" s="96">
        <f>SUM(S50:Y50)</f>
        <v>157</v>
      </c>
      <c r="AB50" s="97">
        <f>IF(C50=2010, AA50/3,AA50)+Z50</f>
        <v>163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47" x14ac:dyDescent="0.25">
      <c r="A51" s="11" t="s">
        <v>287</v>
      </c>
      <c r="B51" s="19" t="s">
        <v>233</v>
      </c>
      <c r="C51" s="3">
        <v>2006</v>
      </c>
      <c r="D51" s="1">
        <f>Q51+G51+F51+E51</f>
        <v>10</v>
      </c>
      <c r="E51" s="177"/>
      <c r="F51" s="50"/>
      <c r="G51" s="50"/>
      <c r="H51" s="120"/>
      <c r="I51" s="22"/>
      <c r="J51" s="50"/>
      <c r="K51" s="50"/>
      <c r="L51" s="50"/>
      <c r="M51" s="50"/>
      <c r="N51" s="50">
        <f>AB51</f>
        <v>10</v>
      </c>
      <c r="O51" s="120"/>
      <c r="P51" s="96">
        <f>SUM(J51:N51)</f>
        <v>10</v>
      </c>
      <c r="Q51" s="97">
        <f>IF(C51=2007, P51/3,P51)+O51</f>
        <v>10</v>
      </c>
      <c r="R51" s="22"/>
      <c r="S51" s="13"/>
      <c r="T51" s="13"/>
      <c r="U51" s="13">
        <f>6</f>
        <v>6</v>
      </c>
      <c r="V51" s="13">
        <f>18</f>
        <v>18</v>
      </c>
      <c r="W51" s="13"/>
      <c r="X51" s="13"/>
      <c r="Y51" s="13">
        <f>6</f>
        <v>6</v>
      </c>
      <c r="Z51" s="95"/>
      <c r="AA51" s="96">
        <f>SUM(S51:Y51)</f>
        <v>30</v>
      </c>
      <c r="AB51" s="97">
        <f>IF(C51=2006, AA51/3,AA51)+Z51</f>
        <v>10</v>
      </c>
    </row>
    <row r="52" spans="1:47" s="3" customFormat="1" x14ac:dyDescent="0.25">
      <c r="A52" s="60" t="s">
        <v>217</v>
      </c>
      <c r="B52" s="65" t="s">
        <v>87</v>
      </c>
      <c r="C52" s="62">
        <v>1997</v>
      </c>
      <c r="D52" s="1">
        <f>Q52+G52+F52+E52</f>
        <v>30</v>
      </c>
      <c r="E52" s="177"/>
      <c r="F52" s="50"/>
      <c r="G52" s="50"/>
      <c r="H52" s="120"/>
      <c r="I52" s="22"/>
      <c r="J52" s="50"/>
      <c r="K52" s="50"/>
      <c r="L52" s="50"/>
      <c r="M52" s="50"/>
      <c r="N52" s="50">
        <f>AB52</f>
        <v>30</v>
      </c>
      <c r="O52" s="120"/>
      <c r="P52" s="96">
        <f>SUM(J52:N52)</f>
        <v>30</v>
      </c>
      <c r="Q52" s="97">
        <f>IF(C52=2007, P52/3,P52)+O52</f>
        <v>30</v>
      </c>
      <c r="R52" s="22"/>
      <c r="S52" s="26"/>
      <c r="T52" s="26">
        <f>9+21</f>
        <v>30</v>
      </c>
      <c r="U52" s="26"/>
      <c r="V52" s="26"/>
      <c r="W52" s="26"/>
      <c r="X52" s="26"/>
      <c r="Y52" s="26"/>
      <c r="Z52" s="95"/>
      <c r="AA52" s="96">
        <f>SUM(S52:Y52)</f>
        <v>30</v>
      </c>
      <c r="AB52" s="97">
        <f>IF(C52=2006, AA52/3,AA52)+Z52</f>
        <v>30</v>
      </c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1:47" s="3" customFormat="1" x14ac:dyDescent="0.25">
      <c r="A53" s="60" t="s">
        <v>538</v>
      </c>
      <c r="B53" s="65" t="s">
        <v>535</v>
      </c>
      <c r="C53" s="62">
        <v>2003</v>
      </c>
      <c r="D53" s="1">
        <f>Q53+G53+F53+E53</f>
        <v>93</v>
      </c>
      <c r="E53" s="177"/>
      <c r="F53" s="50"/>
      <c r="G53" s="50"/>
      <c r="H53" s="120"/>
      <c r="I53" s="22"/>
      <c r="J53" s="50"/>
      <c r="K53" s="50"/>
      <c r="L53" s="50"/>
      <c r="M53" s="50"/>
      <c r="N53" s="50">
        <f>AB53</f>
        <v>93</v>
      </c>
      <c r="O53" s="120"/>
      <c r="P53" s="96">
        <f>SUM(J53:N53)</f>
        <v>93</v>
      </c>
      <c r="Q53" s="97">
        <f>IF(C53=2007, P53/3,P53)+O53</f>
        <v>93</v>
      </c>
      <c r="R53" s="22"/>
      <c r="S53" s="26"/>
      <c r="T53" s="26"/>
      <c r="U53" s="26"/>
      <c r="V53" s="26"/>
      <c r="W53" s="26"/>
      <c r="X53" s="26">
        <f>0</f>
        <v>0</v>
      </c>
      <c r="Y53" s="26">
        <f>93</f>
        <v>93</v>
      </c>
      <c r="Z53" s="95"/>
      <c r="AA53" s="96">
        <f>SUM(S53:Y53)</f>
        <v>93</v>
      </c>
      <c r="AB53" s="97">
        <f>IF(C53=2006, AA53/3,AA53)+Z53</f>
        <v>93</v>
      </c>
    </row>
    <row r="54" spans="1:47" s="52" customFormat="1" x14ac:dyDescent="0.25">
      <c r="A54" s="60" t="s">
        <v>381</v>
      </c>
      <c r="B54" s="65" t="s">
        <v>87</v>
      </c>
      <c r="C54" s="62">
        <v>1994</v>
      </c>
      <c r="D54" s="1">
        <f>Q54+G54+F54+E54</f>
        <v>0</v>
      </c>
      <c r="E54" s="177"/>
      <c r="F54" s="50"/>
      <c r="G54" s="50"/>
      <c r="H54" s="120"/>
      <c r="I54" s="22"/>
      <c r="J54" s="50"/>
      <c r="K54" s="50"/>
      <c r="L54" s="50"/>
      <c r="M54" s="50"/>
      <c r="N54" s="50">
        <f>AB54</f>
        <v>0</v>
      </c>
      <c r="O54" s="120"/>
      <c r="P54" s="96">
        <f>SUM(J54:N54)</f>
        <v>0</v>
      </c>
      <c r="Q54" s="97">
        <f>IF(C54=2007, P54/3,P54)+O54</f>
        <v>0</v>
      </c>
      <c r="R54" s="22"/>
      <c r="S54" s="26"/>
      <c r="T54" s="26"/>
      <c r="U54" s="26"/>
      <c r="V54" s="26">
        <f>0</f>
        <v>0</v>
      </c>
      <c r="W54" s="26"/>
      <c r="X54" s="26"/>
      <c r="Y54" s="26"/>
      <c r="Z54" s="95"/>
      <c r="AA54" s="96">
        <f>SUM(S54:Y54)</f>
        <v>0</v>
      </c>
      <c r="AB54" s="97">
        <f>IF(C54=2006, AA54/3,AA54)+Z54</f>
        <v>0</v>
      </c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s="3" customFormat="1" x14ac:dyDescent="0.25">
      <c r="A55" s="60" t="s">
        <v>713</v>
      </c>
      <c r="B55" s="65" t="s">
        <v>7</v>
      </c>
      <c r="C55" s="62">
        <v>1997</v>
      </c>
      <c r="D55" s="1">
        <f>Q55+G55+F55+E55</f>
        <v>0</v>
      </c>
      <c r="E55" s="177"/>
      <c r="F55" s="50"/>
      <c r="G55" s="50"/>
      <c r="H55" s="120"/>
      <c r="I55" s="22"/>
      <c r="J55" s="50"/>
      <c r="K55" s="50">
        <f>0</f>
        <v>0</v>
      </c>
      <c r="L55" s="50"/>
      <c r="M55" s="50"/>
      <c r="N55" s="50"/>
      <c r="O55" s="120"/>
      <c r="P55" s="96">
        <f>SUM(J55:N55)</f>
        <v>0</v>
      </c>
      <c r="Q55" s="97">
        <f>IF(C55=2007, P55/3,P55)+O55</f>
        <v>0</v>
      </c>
      <c r="R55" s="22"/>
      <c r="S55" s="26"/>
      <c r="T55" s="26"/>
      <c r="U55" s="26"/>
      <c r="V55" s="26"/>
      <c r="W55" s="26"/>
      <c r="X55" s="26"/>
      <c r="Y55" s="26"/>
      <c r="Z55" s="95"/>
      <c r="AA55" s="96"/>
      <c r="AB55" s="97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 s="3" customFormat="1" x14ac:dyDescent="0.25">
      <c r="A56" s="53" t="s">
        <v>58</v>
      </c>
      <c r="B56" s="86" t="s">
        <v>52</v>
      </c>
      <c r="C56" s="52">
        <v>2007</v>
      </c>
      <c r="D56" s="1">
        <f>Q56+G56+F56+E56</f>
        <v>0.33333333333333331</v>
      </c>
      <c r="E56" s="177"/>
      <c r="F56" s="50"/>
      <c r="G56" s="50"/>
      <c r="H56" s="120"/>
      <c r="I56" s="22"/>
      <c r="J56" s="50"/>
      <c r="K56" s="50"/>
      <c r="L56" s="50"/>
      <c r="M56" s="50"/>
      <c r="N56" s="50">
        <f>AB56</f>
        <v>1</v>
      </c>
      <c r="O56" s="120"/>
      <c r="P56" s="96">
        <f>SUM(J56:N56)</f>
        <v>1</v>
      </c>
      <c r="Q56" s="97">
        <f>IF(C56=2007, P56/3,P56)+O56</f>
        <v>0.33333333333333331</v>
      </c>
      <c r="R56" s="22"/>
      <c r="S56" s="41">
        <v>1</v>
      </c>
      <c r="T56" s="41"/>
      <c r="U56" s="41"/>
      <c r="V56" s="41"/>
      <c r="W56" s="41"/>
      <c r="X56" s="41"/>
      <c r="Y56" s="41"/>
      <c r="Z56" s="95"/>
      <c r="AA56" s="96">
        <f>SUM(S56:Y56)</f>
        <v>1</v>
      </c>
      <c r="AB56" s="97">
        <f>IF(C56=2010, AA56/3,AA56)+Z56</f>
        <v>1</v>
      </c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</row>
    <row r="57" spans="1:47" x14ac:dyDescent="0.25">
      <c r="A57" s="60" t="s">
        <v>192</v>
      </c>
      <c r="B57" s="65" t="s">
        <v>88</v>
      </c>
      <c r="C57" s="62">
        <v>2007</v>
      </c>
      <c r="D57" s="1">
        <f>Q57+G57+F57+E57</f>
        <v>10</v>
      </c>
      <c r="E57" s="177"/>
      <c r="F57" s="50"/>
      <c r="G57" s="50"/>
      <c r="H57" s="120"/>
      <c r="I57" s="22"/>
      <c r="J57" s="50"/>
      <c r="K57" s="50"/>
      <c r="L57" s="50"/>
      <c r="M57" s="50"/>
      <c r="N57" s="50">
        <f>AB57</f>
        <v>30</v>
      </c>
      <c r="O57" s="120"/>
      <c r="P57" s="96">
        <f>SUM(J57:N57)</f>
        <v>30</v>
      </c>
      <c r="Q57" s="97">
        <f>IF(C57=2007, P57/3,P57)+O57</f>
        <v>10</v>
      </c>
      <c r="R57" s="22"/>
      <c r="S57" s="13"/>
      <c r="T57" s="13">
        <f>6+24</f>
        <v>30</v>
      </c>
      <c r="U57" s="13"/>
      <c r="V57" s="13"/>
      <c r="W57" s="13"/>
      <c r="X57" s="13"/>
      <c r="Y57" s="13"/>
      <c r="Z57" s="95"/>
      <c r="AA57" s="96">
        <f>SUM(S57:Y57)</f>
        <v>30</v>
      </c>
      <c r="AB57" s="97">
        <f>IF(C57=2010, AA57/3,AA57)+Z57</f>
        <v>30</v>
      </c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</row>
    <row r="58" spans="1:47" s="3" customFormat="1" x14ac:dyDescent="0.25">
      <c r="A58" s="60" t="s">
        <v>357</v>
      </c>
      <c r="B58" s="65" t="s">
        <v>87</v>
      </c>
      <c r="C58" s="62">
        <v>2007</v>
      </c>
      <c r="D58" s="1">
        <f>Q58+G58+F58+E58</f>
        <v>0</v>
      </c>
      <c r="E58" s="177"/>
      <c r="F58" s="50"/>
      <c r="G58" s="50"/>
      <c r="H58" s="120"/>
      <c r="I58" s="22"/>
      <c r="J58" s="50"/>
      <c r="K58" s="50"/>
      <c r="L58" s="50"/>
      <c r="M58" s="50"/>
      <c r="N58" s="50">
        <f>AB58</f>
        <v>0</v>
      </c>
      <c r="O58" s="120"/>
      <c r="P58" s="96">
        <f>SUM(J58:N58)</f>
        <v>0</v>
      </c>
      <c r="Q58" s="97">
        <f>IF(C58=2007, P58/3,P58)+O58</f>
        <v>0</v>
      </c>
      <c r="R58" s="22"/>
      <c r="S58" s="13"/>
      <c r="T58" s="13"/>
      <c r="U58" s="13"/>
      <c r="V58" s="13">
        <f>0</f>
        <v>0</v>
      </c>
      <c r="W58" s="13"/>
      <c r="X58" s="13"/>
      <c r="Y58" s="13"/>
      <c r="Z58" s="95"/>
      <c r="AA58" s="96">
        <f>SUM(S58:Y58)</f>
        <v>0</v>
      </c>
      <c r="AB58" s="97">
        <f>IF(C58=2010, AA58/3,AA58)+Z58</f>
        <v>0</v>
      </c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</row>
    <row r="59" spans="1:47" x14ac:dyDescent="0.25">
      <c r="A59" s="60" t="s">
        <v>214</v>
      </c>
      <c r="B59" s="65" t="s">
        <v>112</v>
      </c>
      <c r="C59" s="62">
        <v>2004</v>
      </c>
      <c r="D59" s="1">
        <f>Q59+G59+F59+E59</f>
        <v>7</v>
      </c>
      <c r="E59" s="177"/>
      <c r="F59" s="50"/>
      <c r="G59" s="50"/>
      <c r="H59" s="120"/>
      <c r="I59" s="22"/>
      <c r="J59" s="50"/>
      <c r="K59" s="50"/>
      <c r="L59" s="50"/>
      <c r="M59" s="50"/>
      <c r="N59" s="50">
        <f>AB59</f>
        <v>7</v>
      </c>
      <c r="O59" s="120"/>
      <c r="P59" s="96">
        <f>SUM(J59:N59)</f>
        <v>7</v>
      </c>
      <c r="Q59" s="97">
        <f>IF(C59=2007, P59/3,P59)+O59</f>
        <v>7</v>
      </c>
      <c r="R59" s="22"/>
      <c r="T59" s="26">
        <v>1</v>
      </c>
      <c r="V59" s="26">
        <f>6</f>
        <v>6</v>
      </c>
      <c r="Z59" s="95"/>
      <c r="AA59" s="96">
        <f>SUM(S59:Y59)</f>
        <v>7</v>
      </c>
      <c r="AB59" s="97">
        <f>IF(C59=2006, AA59/3,AA59)+Z59</f>
        <v>7</v>
      </c>
    </row>
    <row r="60" spans="1:47" s="3" customFormat="1" x14ac:dyDescent="0.25">
      <c r="A60" s="60" t="s">
        <v>369</v>
      </c>
      <c r="B60" s="65" t="s">
        <v>112</v>
      </c>
      <c r="C60" s="62">
        <v>2007</v>
      </c>
      <c r="D60" s="1">
        <f>Q60+G60+F60+E60</f>
        <v>131.33333333333334</v>
      </c>
      <c r="E60" s="177"/>
      <c r="F60" s="50"/>
      <c r="G60" s="50"/>
      <c r="H60" s="120"/>
      <c r="I60" s="22"/>
      <c r="J60" s="50"/>
      <c r="K60" s="50">
        <f>3</f>
        <v>3</v>
      </c>
      <c r="L60" s="50"/>
      <c r="M60" s="50"/>
      <c r="N60" s="50">
        <f>AB60</f>
        <v>391</v>
      </c>
      <c r="O60" s="120"/>
      <c r="P60" s="96">
        <f>SUM(J60:N60)</f>
        <v>394</v>
      </c>
      <c r="Q60" s="97">
        <f>IF(C60=2007, P60/3,P60)+O60</f>
        <v>131.33333333333334</v>
      </c>
      <c r="R60" s="22"/>
      <c r="S60" s="13"/>
      <c r="T60" s="13">
        <v>60</v>
      </c>
      <c r="U60" s="13"/>
      <c r="V60" s="13">
        <f>18</f>
        <v>18</v>
      </c>
      <c r="W60" s="13"/>
      <c r="X60" s="13"/>
      <c r="Y60" s="13">
        <v>304</v>
      </c>
      <c r="Z60" s="95">
        <f>6+3</f>
        <v>9</v>
      </c>
      <c r="AA60" s="96">
        <f>SUM(S60:Y60)</f>
        <v>382</v>
      </c>
      <c r="AB60" s="97">
        <f>IF(C60=2010, AA60/3,AA60)+Z60</f>
        <v>391</v>
      </c>
    </row>
    <row r="61" spans="1:47" s="3" customFormat="1" x14ac:dyDescent="0.25">
      <c r="A61" s="60" t="s">
        <v>162</v>
      </c>
      <c r="B61" s="65" t="s">
        <v>88</v>
      </c>
      <c r="C61" s="62">
        <v>2006</v>
      </c>
      <c r="D61" s="1">
        <f>Q61+G61+F61+E61</f>
        <v>4.666666666666667</v>
      </c>
      <c r="E61" s="177"/>
      <c r="F61" s="50"/>
      <c r="G61" s="50"/>
      <c r="H61" s="120"/>
      <c r="I61" s="22"/>
      <c r="J61" s="50"/>
      <c r="K61" s="50"/>
      <c r="L61" s="50"/>
      <c r="M61" s="50"/>
      <c r="N61" s="50">
        <f>AB61</f>
        <v>4.666666666666667</v>
      </c>
      <c r="O61" s="120"/>
      <c r="P61" s="96">
        <f>SUM(J61:N61)</f>
        <v>4.666666666666667</v>
      </c>
      <c r="Q61" s="97">
        <f>IF(C61=2007, P61/3,P61)+O61</f>
        <v>4.666666666666667</v>
      </c>
      <c r="R61" s="22"/>
      <c r="S61" s="13"/>
      <c r="T61" s="13">
        <f>12+2</f>
        <v>14</v>
      </c>
      <c r="U61" s="13"/>
      <c r="V61" s="13"/>
      <c r="W61" s="13"/>
      <c r="X61" s="13"/>
      <c r="Y61" s="13"/>
      <c r="Z61" s="95"/>
      <c r="AA61" s="96">
        <f>SUM(S61:Y61)</f>
        <v>14</v>
      </c>
      <c r="AB61" s="97">
        <f>IF(C61=2006, AA61/3,AA61)+Z61</f>
        <v>4.666666666666667</v>
      </c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1:47" s="3" customFormat="1" x14ac:dyDescent="0.25">
      <c r="A62" s="11" t="s">
        <v>261</v>
      </c>
      <c r="B62" s="71" t="s">
        <v>112</v>
      </c>
      <c r="C62" s="62">
        <v>2006</v>
      </c>
      <c r="D62" s="1">
        <f>Q62+G62+F62+E62</f>
        <v>67</v>
      </c>
      <c r="E62" s="177"/>
      <c r="F62" s="50"/>
      <c r="G62" s="50"/>
      <c r="H62" s="120"/>
      <c r="I62" s="182"/>
      <c r="J62" s="50"/>
      <c r="K62" s="50"/>
      <c r="L62" s="50">
        <f>13</f>
        <v>13</v>
      </c>
      <c r="M62" s="50"/>
      <c r="N62" s="50">
        <f>AB62</f>
        <v>54</v>
      </c>
      <c r="O62" s="120"/>
      <c r="P62" s="96">
        <f>SUM(J62:N62)</f>
        <v>67</v>
      </c>
      <c r="Q62" s="97">
        <f>IF(C62=2007, P62/3,P62)+O62</f>
        <v>67</v>
      </c>
      <c r="R62" s="22"/>
      <c r="S62" s="41"/>
      <c r="T62" s="41"/>
      <c r="U62" s="41">
        <f>6+1</f>
        <v>7</v>
      </c>
      <c r="V62" s="41">
        <f>43+4</f>
        <v>47</v>
      </c>
      <c r="W62" s="41"/>
      <c r="X62" s="41"/>
      <c r="Y62" s="13"/>
      <c r="Z62" s="95"/>
      <c r="AA62" s="96">
        <f>SUM(S62:Y62)</f>
        <v>54</v>
      </c>
      <c r="AB62" s="97">
        <f>IF(C62=2015, AA62/3,AA62)+Z62</f>
        <v>54</v>
      </c>
    </row>
    <row r="63" spans="1:47" s="3" customFormat="1" x14ac:dyDescent="0.25">
      <c r="A63" s="60" t="s">
        <v>193</v>
      </c>
      <c r="B63" s="85" t="s">
        <v>64</v>
      </c>
      <c r="C63" s="62">
        <v>2006</v>
      </c>
      <c r="D63" s="1">
        <f>Q63+G63+F63+E63</f>
        <v>86</v>
      </c>
      <c r="E63" s="177"/>
      <c r="F63" s="50">
        <f>27+3+3</f>
        <v>33</v>
      </c>
      <c r="G63" s="50"/>
      <c r="H63" s="120"/>
      <c r="I63" s="22"/>
      <c r="J63" s="50"/>
      <c r="K63" s="50">
        <f>3</f>
        <v>3</v>
      </c>
      <c r="L63" s="50">
        <f>24</f>
        <v>24</v>
      </c>
      <c r="M63" s="50">
        <f>18</f>
        <v>18</v>
      </c>
      <c r="N63" s="50">
        <f>AB63</f>
        <v>8</v>
      </c>
      <c r="O63" s="120"/>
      <c r="P63" s="96">
        <f>SUM(J63:N63)</f>
        <v>53</v>
      </c>
      <c r="Q63" s="97">
        <f>IF(C63=2007, P63/3,P63)+O63</f>
        <v>53</v>
      </c>
      <c r="R63" s="22"/>
      <c r="S63" s="13"/>
      <c r="T63" s="13">
        <v>24</v>
      </c>
      <c r="U63" s="13"/>
      <c r="V63" s="13"/>
      <c r="W63" s="13"/>
      <c r="X63" s="13"/>
      <c r="Y63" s="13"/>
      <c r="Z63" s="95"/>
      <c r="AA63" s="96">
        <f>SUM(S63:Y63)</f>
        <v>24</v>
      </c>
      <c r="AB63" s="97">
        <f>IF(C63=2006, AA63/3,AA63)+Z63</f>
        <v>8</v>
      </c>
    </row>
    <row r="64" spans="1:47" s="3" customFormat="1" x14ac:dyDescent="0.25">
      <c r="A64" s="60" t="s">
        <v>441</v>
      </c>
      <c r="B64" s="85" t="s">
        <v>36</v>
      </c>
      <c r="C64" s="62">
        <v>2007</v>
      </c>
      <c r="D64" s="1">
        <f>Q64+G64+F64+E64</f>
        <v>2</v>
      </c>
      <c r="E64" s="177"/>
      <c r="F64" s="50"/>
      <c r="G64" s="50">
        <f>0</f>
        <v>0</v>
      </c>
      <c r="H64" s="120"/>
      <c r="I64" s="22"/>
      <c r="J64" s="50"/>
      <c r="K64" s="50"/>
      <c r="L64" s="50"/>
      <c r="M64" s="50">
        <f>0</f>
        <v>0</v>
      </c>
      <c r="N64" s="50">
        <f>AB64</f>
        <v>6</v>
      </c>
      <c r="O64" s="120"/>
      <c r="P64" s="96">
        <f>SUM(J64:N64)</f>
        <v>6</v>
      </c>
      <c r="Q64" s="97">
        <f>IF(C64=2007, P64/3,P64)+O64</f>
        <v>2</v>
      </c>
      <c r="R64" s="22"/>
      <c r="S64" s="13"/>
      <c r="T64" s="13"/>
      <c r="U64" s="13"/>
      <c r="V64" s="13"/>
      <c r="W64" s="13">
        <f>6</f>
        <v>6</v>
      </c>
      <c r="X64" s="13"/>
      <c r="Y64" s="13"/>
      <c r="Z64" s="95"/>
      <c r="AA64" s="96">
        <f>SUM(S64:Y64)</f>
        <v>6</v>
      </c>
      <c r="AB64" s="97">
        <f>IF(C64=2010, AA64/3,AA64)+Z64</f>
        <v>6</v>
      </c>
    </row>
    <row r="65" spans="1:47" s="3" customFormat="1" x14ac:dyDescent="0.25">
      <c r="A65" s="60" t="s">
        <v>498</v>
      </c>
      <c r="B65" s="85" t="s">
        <v>233</v>
      </c>
      <c r="C65" s="62">
        <v>2007</v>
      </c>
      <c r="D65" s="1">
        <f>Q65+G65+F65+E65</f>
        <v>6</v>
      </c>
      <c r="E65" s="177"/>
      <c r="F65" s="50"/>
      <c r="G65" s="50"/>
      <c r="H65" s="120"/>
      <c r="I65" s="22"/>
      <c r="J65" s="50"/>
      <c r="K65" s="50"/>
      <c r="L65" s="50"/>
      <c r="M65" s="50"/>
      <c r="N65" s="50">
        <f>AB65</f>
        <v>18</v>
      </c>
      <c r="O65" s="120"/>
      <c r="P65" s="96">
        <f>SUM(J65:N65)</f>
        <v>18</v>
      </c>
      <c r="Q65" s="97">
        <f>IF(C65=2007, P65/3,P65)+O65</f>
        <v>6</v>
      </c>
      <c r="R65" s="22"/>
      <c r="S65" s="13"/>
      <c r="T65" s="13"/>
      <c r="U65" s="13"/>
      <c r="V65" s="13"/>
      <c r="W65" s="13"/>
      <c r="X65" s="13">
        <f>18</f>
        <v>18</v>
      </c>
      <c r="Y65" s="13"/>
      <c r="Z65" s="95"/>
      <c r="AA65" s="96">
        <f>SUM(S65:Y65)</f>
        <v>18</v>
      </c>
      <c r="AB65" s="97">
        <f>IF(C65=2010, AA65/3,AA65)+Z65</f>
        <v>18</v>
      </c>
    </row>
    <row r="66" spans="1:47" s="3" customFormat="1" x14ac:dyDescent="0.25">
      <c r="A66" s="60" t="s">
        <v>170</v>
      </c>
      <c r="B66" s="65" t="s">
        <v>112</v>
      </c>
      <c r="C66" s="62">
        <v>2007</v>
      </c>
      <c r="D66" s="1">
        <f>Q66+G66+F66+E66</f>
        <v>6</v>
      </c>
      <c r="E66" s="177"/>
      <c r="F66" s="50"/>
      <c r="G66" s="50"/>
      <c r="H66" s="120"/>
      <c r="I66" s="22"/>
      <c r="J66" s="50"/>
      <c r="K66" s="50"/>
      <c r="L66" s="50"/>
      <c r="M66" s="50"/>
      <c r="N66" s="50">
        <f>AB66</f>
        <v>18</v>
      </c>
      <c r="O66" s="120"/>
      <c r="P66" s="96">
        <f>SUM(J66:N66)</f>
        <v>18</v>
      </c>
      <c r="Q66" s="97">
        <f>IF(C66=2007, P66/3,P66)+O66</f>
        <v>6</v>
      </c>
      <c r="R66" s="22"/>
      <c r="S66" s="13"/>
      <c r="T66" s="13">
        <v>4</v>
      </c>
      <c r="U66" s="13"/>
      <c r="V66" s="13">
        <f>14</f>
        <v>14</v>
      </c>
      <c r="W66" s="13"/>
      <c r="X66" s="13"/>
      <c r="Y66" s="13"/>
      <c r="Z66" s="95"/>
      <c r="AA66" s="96">
        <f>SUM(S66:Y66)</f>
        <v>18</v>
      </c>
      <c r="AB66" s="97">
        <f>IF(C66=2010, AA66/3,AA66)+Z66</f>
        <v>18</v>
      </c>
    </row>
    <row r="67" spans="1:47" s="3" customFormat="1" ht="14.25" customHeight="1" x14ac:dyDescent="0.25">
      <c r="A67" s="60" t="s">
        <v>160</v>
      </c>
      <c r="B67" s="65" t="s">
        <v>112</v>
      </c>
      <c r="C67" s="62">
        <v>2007</v>
      </c>
      <c r="D67" s="1">
        <f>Q67+G67+F67+E67</f>
        <v>15.333333333333334</v>
      </c>
      <c r="E67" s="177"/>
      <c r="F67" s="50"/>
      <c r="G67" s="50"/>
      <c r="H67" s="120"/>
      <c r="I67" s="22"/>
      <c r="J67" s="50"/>
      <c r="K67" s="50"/>
      <c r="L67" s="50"/>
      <c r="M67" s="50"/>
      <c r="N67" s="50">
        <f>AB67</f>
        <v>46</v>
      </c>
      <c r="O67" s="120"/>
      <c r="P67" s="96">
        <f>SUM(J67:N67)</f>
        <v>46</v>
      </c>
      <c r="Q67" s="97">
        <f>IF(C67=2007, P67/3,P67)+O67</f>
        <v>15.333333333333334</v>
      </c>
      <c r="R67" s="22"/>
      <c r="S67" s="13"/>
      <c r="T67" s="13">
        <v>21</v>
      </c>
      <c r="U67" s="13"/>
      <c r="V67" s="13">
        <f>23</f>
        <v>23</v>
      </c>
      <c r="W67" s="13"/>
      <c r="X67" s="13"/>
      <c r="Y67" s="13"/>
      <c r="Z67" s="95">
        <f>2</f>
        <v>2</v>
      </c>
      <c r="AA67" s="96">
        <f>SUM(S67:Y67)</f>
        <v>44</v>
      </c>
      <c r="AB67" s="97">
        <f>IF(C67=2010, AA67/3,AA67)+Z67</f>
        <v>46</v>
      </c>
    </row>
    <row r="68" spans="1:47" x14ac:dyDescent="0.25">
      <c r="A68" s="60" t="s">
        <v>648</v>
      </c>
      <c r="B68" s="65" t="s">
        <v>0</v>
      </c>
      <c r="C68" s="62">
        <v>2007</v>
      </c>
      <c r="D68" s="1">
        <f>Q68+G68+F68+E68</f>
        <v>9</v>
      </c>
      <c r="E68" s="177"/>
      <c r="F68" s="50"/>
      <c r="G68" s="50"/>
      <c r="H68" s="120"/>
      <c r="I68" s="22"/>
      <c r="J68" s="50"/>
      <c r="K68" s="50">
        <f>5</f>
        <v>5</v>
      </c>
      <c r="L68" s="50">
        <f>22</f>
        <v>22</v>
      </c>
      <c r="M68" s="50"/>
      <c r="N68" s="50"/>
      <c r="O68" s="120"/>
      <c r="P68" s="96">
        <f>SUM(J68:N68)</f>
        <v>27</v>
      </c>
      <c r="Q68" s="97">
        <f>IF(C68=2007, P68/3,P68)+O68</f>
        <v>9</v>
      </c>
      <c r="R68" s="22"/>
      <c r="S68" s="13"/>
      <c r="T68" s="13"/>
      <c r="U68" s="13"/>
      <c r="V68" s="13"/>
      <c r="W68" s="13"/>
      <c r="X68" s="13"/>
      <c r="Y68" s="13"/>
      <c r="Z68" s="95"/>
      <c r="AA68" s="96"/>
      <c r="AB68" s="97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</row>
    <row r="69" spans="1:47" s="3" customFormat="1" x14ac:dyDescent="0.25">
      <c r="A69" s="60" t="s">
        <v>530</v>
      </c>
      <c r="B69" s="65" t="s">
        <v>7</v>
      </c>
      <c r="C69" s="62">
        <v>2007</v>
      </c>
      <c r="D69" s="1">
        <f>Q69+G69+F69+E69</f>
        <v>0.66666666666666663</v>
      </c>
      <c r="E69" s="177"/>
      <c r="F69" s="50"/>
      <c r="G69" s="50"/>
      <c r="H69" s="120"/>
      <c r="I69" s="22"/>
      <c r="J69" s="50"/>
      <c r="K69" s="50">
        <f>0</f>
        <v>0</v>
      </c>
      <c r="L69" s="50"/>
      <c r="M69" s="50">
        <f>0</f>
        <v>0</v>
      </c>
      <c r="N69" s="50">
        <f>AB69</f>
        <v>2</v>
      </c>
      <c r="O69" s="120"/>
      <c r="P69" s="96">
        <f>SUM(J69:N69)</f>
        <v>2</v>
      </c>
      <c r="Q69" s="97">
        <f>IF(C69=2007, P69/3,P69)+O69</f>
        <v>0.66666666666666663</v>
      </c>
      <c r="R69" s="22"/>
      <c r="S69" s="13"/>
      <c r="T69" s="13"/>
      <c r="U69" s="13"/>
      <c r="V69" s="13"/>
      <c r="W69" s="13"/>
      <c r="X69" s="13">
        <f>2</f>
        <v>2</v>
      </c>
      <c r="Y69" s="13"/>
      <c r="Z69" s="95"/>
      <c r="AA69" s="96">
        <f>SUM(S69:Y69)</f>
        <v>2</v>
      </c>
      <c r="AB69" s="97">
        <f>IF(C69=2010, AA69/3,AA69)+Z69</f>
        <v>2</v>
      </c>
    </row>
    <row r="70" spans="1:47" s="3" customFormat="1" x14ac:dyDescent="0.25">
      <c r="A70" s="60" t="s">
        <v>370</v>
      </c>
      <c r="B70" s="85" t="s">
        <v>7</v>
      </c>
      <c r="C70" s="62">
        <v>2006</v>
      </c>
      <c r="D70" s="1">
        <f>Q70+G70+F70+E70</f>
        <v>0</v>
      </c>
      <c r="E70" s="177"/>
      <c r="F70" s="50"/>
      <c r="G70" s="50"/>
      <c r="H70" s="120"/>
      <c r="I70" s="22"/>
      <c r="J70" s="50"/>
      <c r="K70" s="50"/>
      <c r="L70" s="50"/>
      <c r="M70" s="50"/>
      <c r="N70" s="50">
        <f>AB70</f>
        <v>0</v>
      </c>
      <c r="O70" s="120"/>
      <c r="P70" s="96">
        <f>SUM(J70:N70)</f>
        <v>0</v>
      </c>
      <c r="Q70" s="97">
        <f>IF(C70=2007, P70/3,P70)+O70</f>
        <v>0</v>
      </c>
      <c r="R70" s="22"/>
      <c r="S70" s="13"/>
      <c r="T70" s="13"/>
      <c r="U70" s="13"/>
      <c r="V70" s="13">
        <f>0</f>
        <v>0</v>
      </c>
      <c r="W70" s="13"/>
      <c r="X70" s="13"/>
      <c r="Y70" s="13"/>
      <c r="Z70" s="95"/>
      <c r="AA70" s="96">
        <f>SUM(S70:Y70)</f>
        <v>0</v>
      </c>
      <c r="AB70" s="97">
        <f>IF(C70=2006, AA70/3,AA70)+Z70</f>
        <v>0</v>
      </c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</row>
    <row r="71" spans="1:47" s="3" customFormat="1" x14ac:dyDescent="0.25">
      <c r="A71" s="60" t="s">
        <v>509</v>
      </c>
      <c r="B71" s="85" t="s">
        <v>7</v>
      </c>
      <c r="C71" s="62">
        <v>2007</v>
      </c>
      <c r="D71" s="1">
        <f>Q71+G71+F71+E71</f>
        <v>6</v>
      </c>
      <c r="E71" s="177"/>
      <c r="F71" s="50"/>
      <c r="G71" s="50"/>
      <c r="H71" s="120"/>
      <c r="I71" s="22"/>
      <c r="J71" s="50"/>
      <c r="K71" s="50">
        <f>5</f>
        <v>5</v>
      </c>
      <c r="L71" s="50">
        <f>0</f>
        <v>0</v>
      </c>
      <c r="M71" s="50">
        <f>10</f>
        <v>10</v>
      </c>
      <c r="N71" s="50">
        <f>AB71</f>
        <v>3</v>
      </c>
      <c r="O71" s="120"/>
      <c r="P71" s="96">
        <f>SUM(J71:N71)</f>
        <v>18</v>
      </c>
      <c r="Q71" s="97">
        <f>IF(C71=2007, P71/3,P71)+O71</f>
        <v>6</v>
      </c>
      <c r="R71" s="22"/>
      <c r="S71" s="13"/>
      <c r="T71" s="13"/>
      <c r="U71" s="13"/>
      <c r="V71" s="13"/>
      <c r="W71" s="13"/>
      <c r="X71" s="13">
        <f>1+2</f>
        <v>3</v>
      </c>
      <c r="Y71" s="13"/>
      <c r="Z71" s="95"/>
      <c r="AA71" s="96">
        <f>SUM(S71:Y71)</f>
        <v>3</v>
      </c>
      <c r="AB71" s="97">
        <f>IF(C71=2010, AA71/3,AA71)+Z71</f>
        <v>3</v>
      </c>
    </row>
    <row r="72" spans="1:47" s="3" customFormat="1" x14ac:dyDescent="0.25">
      <c r="A72" s="11" t="s">
        <v>681</v>
      </c>
      <c r="B72" s="60" t="s">
        <v>482</v>
      </c>
      <c r="C72" s="62">
        <v>2007</v>
      </c>
      <c r="D72" s="1">
        <f>Q72+G72+F72+E72</f>
        <v>9</v>
      </c>
      <c r="E72" s="177"/>
      <c r="F72" s="50"/>
      <c r="G72" s="50"/>
      <c r="H72" s="120"/>
      <c r="I72" s="22"/>
      <c r="J72" s="50"/>
      <c r="K72" s="50">
        <f>6</f>
        <v>6</v>
      </c>
      <c r="L72" s="50">
        <f>21</f>
        <v>21</v>
      </c>
      <c r="M72" s="50"/>
      <c r="N72" s="50"/>
      <c r="O72" s="120"/>
      <c r="P72" s="96">
        <f>SUM(J72:N72)</f>
        <v>27</v>
      </c>
      <c r="Q72" s="97">
        <f>IF(C72=2007, P72/3,P72)+O72</f>
        <v>9</v>
      </c>
      <c r="R72" s="22"/>
      <c r="S72" s="41"/>
      <c r="T72" s="41"/>
      <c r="U72" s="41"/>
      <c r="V72" s="41"/>
      <c r="W72" s="41"/>
      <c r="X72" s="41"/>
      <c r="Y72" s="13"/>
      <c r="Z72" s="95"/>
      <c r="AA72" s="96"/>
      <c r="AB72" s="97"/>
    </row>
    <row r="73" spans="1:47" x14ac:dyDescent="0.25">
      <c r="A73" s="60" t="s">
        <v>154</v>
      </c>
      <c r="B73" s="65" t="s">
        <v>87</v>
      </c>
      <c r="C73" s="62">
        <v>2007</v>
      </c>
      <c r="D73" s="1">
        <f>Q73+G73+F73+E73</f>
        <v>1.3333333333333333</v>
      </c>
      <c r="E73" s="177"/>
      <c r="F73" s="50"/>
      <c r="G73" s="50"/>
      <c r="H73" s="120"/>
      <c r="I73" s="22"/>
      <c r="J73" s="50"/>
      <c r="K73" s="50"/>
      <c r="L73" s="50"/>
      <c r="M73" s="50"/>
      <c r="N73" s="50">
        <f>AB73</f>
        <v>4</v>
      </c>
      <c r="O73" s="120"/>
      <c r="P73" s="96">
        <f>SUM(J73:N73)</f>
        <v>4</v>
      </c>
      <c r="Q73" s="97">
        <f>IF(C73=2007, P73/3,P73)+O73</f>
        <v>1.3333333333333333</v>
      </c>
      <c r="R73" s="22"/>
      <c r="S73" s="13"/>
      <c r="T73" s="13">
        <v>4</v>
      </c>
      <c r="U73" s="13"/>
      <c r="V73" s="13">
        <f>0</f>
        <v>0</v>
      </c>
      <c r="W73" s="13"/>
      <c r="X73" s="13"/>
      <c r="Y73" s="13"/>
      <c r="Z73" s="95"/>
      <c r="AA73" s="96">
        <f>SUM(S73:Y73)</f>
        <v>4</v>
      </c>
      <c r="AB73" s="97">
        <f>IF(C73=2010, AA73/3,AA73)+Z73</f>
        <v>4</v>
      </c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1:47" s="3" customFormat="1" x14ac:dyDescent="0.25">
      <c r="A74" s="60" t="s">
        <v>358</v>
      </c>
      <c r="B74" s="65" t="s">
        <v>87</v>
      </c>
      <c r="C74" s="62">
        <v>2006</v>
      </c>
      <c r="D74" s="1">
        <f>Q74+G74+F74+E74</f>
        <v>0</v>
      </c>
      <c r="E74" s="177"/>
      <c r="F74" s="50"/>
      <c r="G74" s="50"/>
      <c r="H74" s="120"/>
      <c r="I74" s="22"/>
      <c r="J74" s="50"/>
      <c r="K74" s="50"/>
      <c r="L74" s="50"/>
      <c r="M74" s="50"/>
      <c r="N74" s="50">
        <f>AB74</f>
        <v>0</v>
      </c>
      <c r="O74" s="120"/>
      <c r="P74" s="96">
        <f>SUM(J74:N74)</f>
        <v>0</v>
      </c>
      <c r="Q74" s="97">
        <f>IF(C74=2007, P74/3,P74)+O74</f>
        <v>0</v>
      </c>
      <c r="R74" s="22"/>
      <c r="S74" s="13"/>
      <c r="T74" s="13"/>
      <c r="U74" s="13"/>
      <c r="V74" s="13">
        <f>0</f>
        <v>0</v>
      </c>
      <c r="W74" s="13"/>
      <c r="X74" s="13"/>
      <c r="Y74" s="13"/>
      <c r="Z74" s="95"/>
      <c r="AA74" s="96">
        <f>SUM(S74:Y74)</f>
        <v>0</v>
      </c>
      <c r="AB74" s="97">
        <f>IF(C74=2006, AA74/3,AA74)+Z74</f>
        <v>0</v>
      </c>
    </row>
    <row r="75" spans="1:47" x14ac:dyDescent="0.25">
      <c r="A75" s="60" t="s">
        <v>159</v>
      </c>
      <c r="B75" s="65" t="s">
        <v>63</v>
      </c>
      <c r="C75" s="62">
        <v>2006</v>
      </c>
      <c r="D75" s="1">
        <f>Q75+G75+F75+E75</f>
        <v>44.666666666666671</v>
      </c>
      <c r="E75" s="177">
        <f>9</f>
        <v>9</v>
      </c>
      <c r="F75" s="50">
        <f>9</f>
        <v>9</v>
      </c>
      <c r="G75" s="50"/>
      <c r="H75" s="120"/>
      <c r="I75" s="22"/>
      <c r="J75" s="50"/>
      <c r="K75" s="50"/>
      <c r="L75" s="50">
        <f>0</f>
        <v>0</v>
      </c>
      <c r="M75" s="50">
        <f>0+3</f>
        <v>3</v>
      </c>
      <c r="N75" s="50">
        <f>AB75</f>
        <v>23.666666666666668</v>
      </c>
      <c r="O75" s="120"/>
      <c r="P75" s="96">
        <f>SUM(J75:N75)</f>
        <v>26.666666666666668</v>
      </c>
      <c r="Q75" s="97">
        <f>IF(C75=2007, P75/3,P75)+O75</f>
        <v>26.666666666666668</v>
      </c>
      <c r="R75" s="22"/>
      <c r="S75" s="13"/>
      <c r="T75" s="13">
        <f>18+3</f>
        <v>21</v>
      </c>
      <c r="U75" s="13"/>
      <c r="V75" s="13">
        <f>10+3</f>
        <v>13</v>
      </c>
      <c r="W75" s="13">
        <f>2</f>
        <v>2</v>
      </c>
      <c r="X75" s="13">
        <f>8+3+6</f>
        <v>17</v>
      </c>
      <c r="Y75" s="13"/>
      <c r="Z75" s="95">
        <f>6</f>
        <v>6</v>
      </c>
      <c r="AA75" s="96">
        <f>SUM(S75:Y75)</f>
        <v>53</v>
      </c>
      <c r="AB75" s="97">
        <f>IF(C75=2006, AA75/3,AA75)+Z75</f>
        <v>23.666666666666668</v>
      </c>
    </row>
    <row r="76" spans="1:47" s="3" customFormat="1" x14ac:dyDescent="0.25">
      <c r="A76" s="60" t="s">
        <v>541</v>
      </c>
      <c r="B76" s="65" t="s">
        <v>535</v>
      </c>
      <c r="C76" s="62">
        <v>2007</v>
      </c>
      <c r="D76" s="1">
        <f>Q76+G76+F76+E76</f>
        <v>6</v>
      </c>
      <c r="E76" s="177"/>
      <c r="F76" s="50"/>
      <c r="G76" s="50"/>
      <c r="H76" s="120"/>
      <c r="I76" s="22"/>
      <c r="J76" s="50"/>
      <c r="K76" s="50">
        <f>18</f>
        <v>18</v>
      </c>
      <c r="L76" s="50"/>
      <c r="M76" s="50"/>
      <c r="N76" s="50">
        <f>AB76</f>
        <v>0</v>
      </c>
      <c r="O76" s="120"/>
      <c r="P76" s="96">
        <f>SUM(J76:N76)</f>
        <v>18</v>
      </c>
      <c r="Q76" s="97">
        <f>IF(C76=2007, P76/3,P76)+O76</f>
        <v>6</v>
      </c>
      <c r="R76" s="22"/>
      <c r="S76" s="13"/>
      <c r="T76" s="13"/>
      <c r="U76" s="13"/>
      <c r="V76" s="13"/>
      <c r="W76" s="13"/>
      <c r="X76" s="13">
        <f>0</f>
        <v>0</v>
      </c>
      <c r="Y76" s="13"/>
      <c r="Z76" s="95"/>
      <c r="AA76" s="96">
        <f>SUM(S76:Y76)</f>
        <v>0</v>
      </c>
      <c r="AB76" s="97">
        <f>IF(C76=2010, AA76/3,AA76)+Z76</f>
        <v>0</v>
      </c>
    </row>
    <row r="77" spans="1:47" x14ac:dyDescent="0.25">
      <c r="A77" s="60" t="s">
        <v>167</v>
      </c>
      <c r="B77" s="65" t="s">
        <v>63</v>
      </c>
      <c r="C77" s="62">
        <v>2006</v>
      </c>
      <c r="D77" s="1">
        <f>Q77+G77+F77+E77</f>
        <v>67.666666666666671</v>
      </c>
      <c r="E77" s="177">
        <f>9</f>
        <v>9</v>
      </c>
      <c r="F77" s="50">
        <f>9</f>
        <v>9</v>
      </c>
      <c r="G77" s="50"/>
      <c r="H77" s="120"/>
      <c r="I77" s="22"/>
      <c r="J77" s="50"/>
      <c r="K77" s="50"/>
      <c r="L77" s="50">
        <f>6</f>
        <v>6</v>
      </c>
      <c r="M77" s="50">
        <f>6+3</f>
        <v>9</v>
      </c>
      <c r="N77" s="50">
        <f>AB77</f>
        <v>34.666666666666671</v>
      </c>
      <c r="O77" s="120"/>
      <c r="P77" s="96">
        <f>SUM(J77:N77)</f>
        <v>49.666666666666671</v>
      </c>
      <c r="Q77" s="97">
        <f>IF(C77=2007, P77/3,P77)+O77</f>
        <v>49.666666666666671</v>
      </c>
      <c r="R77" s="22"/>
      <c r="S77" s="13"/>
      <c r="T77" s="13">
        <f>22+3</f>
        <v>25</v>
      </c>
      <c r="U77" s="13">
        <f>4</f>
        <v>4</v>
      </c>
      <c r="V77" s="13">
        <f>17+3</f>
        <v>20</v>
      </c>
      <c r="W77" s="13">
        <f>10</f>
        <v>10</v>
      </c>
      <c r="X77" s="13">
        <f>18+3+6</f>
        <v>27</v>
      </c>
      <c r="Y77" s="13"/>
      <c r="Z77" s="95">
        <f>6</f>
        <v>6</v>
      </c>
      <c r="AA77" s="96">
        <f>SUM(S77:Y77)</f>
        <v>86</v>
      </c>
      <c r="AB77" s="97">
        <f>IF(C77=2006, AA77/3,AA77)+Z77</f>
        <v>34.666666666666671</v>
      </c>
    </row>
    <row r="78" spans="1:47" x14ac:dyDescent="0.25">
      <c r="A78" s="60" t="s">
        <v>155</v>
      </c>
      <c r="B78" s="65" t="s">
        <v>87</v>
      </c>
      <c r="C78" s="62">
        <v>2007</v>
      </c>
      <c r="D78" s="1">
        <f>Q78+G78+F78+E78</f>
        <v>5.333333333333333</v>
      </c>
      <c r="E78" s="177"/>
      <c r="F78" s="50"/>
      <c r="G78" s="50"/>
      <c r="H78" s="120"/>
      <c r="I78" s="22"/>
      <c r="J78" s="50"/>
      <c r="K78" s="50"/>
      <c r="L78" s="50"/>
      <c r="M78" s="50"/>
      <c r="N78" s="50">
        <f>AB78</f>
        <v>16</v>
      </c>
      <c r="O78" s="120"/>
      <c r="P78" s="96">
        <f>SUM(J78:N78)</f>
        <v>16</v>
      </c>
      <c r="Q78" s="97">
        <f>IF(C78=2007, P78/3,P78)+O78</f>
        <v>5.333333333333333</v>
      </c>
      <c r="R78" s="22"/>
      <c r="S78" s="13"/>
      <c r="T78" s="13">
        <v>4</v>
      </c>
      <c r="U78" s="13"/>
      <c r="V78" s="13">
        <f>12</f>
        <v>12</v>
      </c>
      <c r="W78" s="13"/>
      <c r="X78" s="13"/>
      <c r="Y78" s="13"/>
      <c r="Z78" s="95"/>
      <c r="AA78" s="96">
        <f>SUM(S78:Y78)</f>
        <v>16</v>
      </c>
      <c r="AB78" s="97">
        <f>IF(C78=2010, AA78/3,AA78)+Z78</f>
        <v>16</v>
      </c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1:47" s="3" customFormat="1" x14ac:dyDescent="0.25">
      <c r="A79" s="60" t="s">
        <v>150</v>
      </c>
      <c r="B79" s="65" t="s">
        <v>87</v>
      </c>
      <c r="C79" s="62">
        <v>2006</v>
      </c>
      <c r="D79" s="1">
        <f>Q79+G79+F79+E79</f>
        <v>0</v>
      </c>
      <c r="E79" s="177"/>
      <c r="F79" s="50"/>
      <c r="G79" s="50"/>
      <c r="H79" s="120"/>
      <c r="I79" s="22"/>
      <c r="J79" s="50"/>
      <c r="K79" s="50"/>
      <c r="L79" s="50"/>
      <c r="M79" s="50"/>
      <c r="N79" s="50">
        <f>AB79</f>
        <v>0</v>
      </c>
      <c r="O79" s="120"/>
      <c r="P79" s="96">
        <f>SUM(J79:N79)</f>
        <v>0</v>
      </c>
      <c r="Q79" s="97">
        <f>IF(C79=2007, P79/3,P79)+O79</f>
        <v>0</v>
      </c>
      <c r="R79" s="22"/>
      <c r="S79" s="13"/>
      <c r="T79" s="13">
        <v>0</v>
      </c>
      <c r="U79" s="13"/>
      <c r="V79" s="13">
        <f>0</f>
        <v>0</v>
      </c>
      <c r="W79" s="13"/>
      <c r="X79" s="13"/>
      <c r="Y79" s="13"/>
      <c r="Z79" s="95"/>
      <c r="AA79" s="96">
        <f>SUM(S79:Y79)</f>
        <v>0</v>
      </c>
      <c r="AB79" s="97">
        <f>IF(C79=2006, AA79/3,AA79)+Z79</f>
        <v>0</v>
      </c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</row>
    <row r="80" spans="1:47" s="3" customFormat="1" x14ac:dyDescent="0.25">
      <c r="A80" s="60" t="s">
        <v>164</v>
      </c>
      <c r="B80" s="65" t="s">
        <v>63</v>
      </c>
      <c r="C80" s="62">
        <v>2006</v>
      </c>
      <c r="D80" s="1">
        <f>Q80+G80+F80+E80</f>
        <v>0</v>
      </c>
      <c r="E80" s="177"/>
      <c r="F80" s="50"/>
      <c r="G80" s="50"/>
      <c r="H80" s="120"/>
      <c r="I80" s="22"/>
      <c r="J80" s="50"/>
      <c r="K80" s="50"/>
      <c r="L80" s="50"/>
      <c r="M80" s="50"/>
      <c r="N80" s="50">
        <f>AB80</f>
        <v>0</v>
      </c>
      <c r="O80" s="120"/>
      <c r="P80" s="96">
        <f>SUM(J80:N80)</f>
        <v>0</v>
      </c>
      <c r="Q80" s="97">
        <f>IF(C80=2007, P80/3,P80)+O80</f>
        <v>0</v>
      </c>
      <c r="R80" s="22"/>
      <c r="S80" s="13"/>
      <c r="T80" s="13">
        <v>0</v>
      </c>
      <c r="U80" s="13"/>
      <c r="V80" s="13"/>
      <c r="W80" s="13"/>
      <c r="X80" s="13"/>
      <c r="Y80" s="13"/>
      <c r="Z80" s="95"/>
      <c r="AA80" s="96">
        <f>SUM(S80:Y80)</f>
        <v>0</v>
      </c>
      <c r="AB80" s="97">
        <f>IF(C80=2006, AA80/3,AA80)+Z80</f>
        <v>0</v>
      </c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</row>
    <row r="81" spans="1:47" s="3" customFormat="1" x14ac:dyDescent="0.25">
      <c r="A81" s="60" t="s">
        <v>349</v>
      </c>
      <c r="B81" s="65" t="s">
        <v>87</v>
      </c>
      <c r="C81" s="62">
        <v>2007</v>
      </c>
      <c r="D81" s="1">
        <f>Q81+G81+F81+E81</f>
        <v>32.333333333333336</v>
      </c>
      <c r="E81" s="177"/>
      <c r="F81" s="50">
        <f>12+6+6</f>
        <v>24</v>
      </c>
      <c r="G81" s="50"/>
      <c r="H81" s="120"/>
      <c r="I81" s="22"/>
      <c r="J81" s="50"/>
      <c r="K81" s="50"/>
      <c r="L81" s="50"/>
      <c r="M81" s="50"/>
      <c r="N81" s="50">
        <f>AB81</f>
        <v>25</v>
      </c>
      <c r="O81" s="120"/>
      <c r="P81" s="96">
        <f>SUM(J81:N81)</f>
        <v>25</v>
      </c>
      <c r="Q81" s="97">
        <f>IF(C81=2007, P81/3,P81)+O81</f>
        <v>8.3333333333333339</v>
      </c>
      <c r="R81" s="22"/>
      <c r="S81" s="13"/>
      <c r="T81" s="13"/>
      <c r="U81" s="13"/>
      <c r="V81" s="13">
        <f>21+4</f>
        <v>25</v>
      </c>
      <c r="W81" s="13"/>
      <c r="X81" s="13"/>
      <c r="Y81" s="13"/>
      <c r="Z81" s="95"/>
      <c r="AA81" s="96">
        <f>SUM(S81:Y81)</f>
        <v>25</v>
      </c>
      <c r="AB81" s="97">
        <f>IF(C81=2010, AA81/3,AA81)+Z81</f>
        <v>25</v>
      </c>
    </row>
    <row r="82" spans="1:47" s="3" customFormat="1" x14ac:dyDescent="0.25">
      <c r="A82" s="60" t="s">
        <v>201</v>
      </c>
      <c r="B82" s="65" t="s">
        <v>63</v>
      </c>
      <c r="C82" s="62">
        <v>2006</v>
      </c>
      <c r="D82" s="1">
        <f>Q82+G82+F82+E82</f>
        <v>4.333333333333333</v>
      </c>
      <c r="E82" s="177"/>
      <c r="F82" s="50"/>
      <c r="G82" s="50"/>
      <c r="H82" s="120"/>
      <c r="I82" s="22"/>
      <c r="J82" s="50"/>
      <c r="K82" s="50"/>
      <c r="L82" s="50"/>
      <c r="M82" s="50"/>
      <c r="N82" s="50">
        <f>AB82</f>
        <v>4.333333333333333</v>
      </c>
      <c r="O82" s="120"/>
      <c r="P82" s="96">
        <f>SUM(J82:N82)</f>
        <v>4.333333333333333</v>
      </c>
      <c r="Q82" s="97">
        <f>IF(C82=2007, P82/3,P82)+O82</f>
        <v>4.333333333333333</v>
      </c>
      <c r="R82" s="22"/>
      <c r="S82" s="13"/>
      <c r="T82" s="13">
        <v>0</v>
      </c>
      <c r="U82" s="13"/>
      <c r="V82" s="13">
        <f>6</f>
        <v>6</v>
      </c>
      <c r="W82" s="13"/>
      <c r="X82" s="13"/>
      <c r="Y82" s="13">
        <v>7</v>
      </c>
      <c r="Z82" s="95"/>
      <c r="AA82" s="96">
        <f>SUM(S82:Y82)</f>
        <v>13</v>
      </c>
      <c r="AB82" s="97">
        <f>IF(C82=2006, AA82/3,AA82)+Z82</f>
        <v>4.333333333333333</v>
      </c>
    </row>
    <row r="83" spans="1:47" s="3" customFormat="1" x14ac:dyDescent="0.25">
      <c r="A83" s="60" t="s">
        <v>194</v>
      </c>
      <c r="B83" s="65" t="s">
        <v>87</v>
      </c>
      <c r="C83" s="62">
        <v>2007</v>
      </c>
      <c r="D83" s="1">
        <f>Q83+G83+F83+E83</f>
        <v>21</v>
      </c>
      <c r="E83" s="177"/>
      <c r="F83" s="50"/>
      <c r="G83" s="50"/>
      <c r="H83" s="120"/>
      <c r="I83" s="22"/>
      <c r="J83" s="50"/>
      <c r="K83" s="50"/>
      <c r="L83" s="50"/>
      <c r="M83" s="50"/>
      <c r="N83" s="50">
        <f>AB83</f>
        <v>63</v>
      </c>
      <c r="O83" s="120"/>
      <c r="P83" s="96">
        <f>SUM(J83:N83)</f>
        <v>63</v>
      </c>
      <c r="Q83" s="97">
        <f>IF(C83=2007, P83/3,P83)+O83</f>
        <v>21</v>
      </c>
      <c r="R83" s="22"/>
      <c r="S83" s="13"/>
      <c r="T83" s="13">
        <v>24</v>
      </c>
      <c r="U83" s="13"/>
      <c r="V83" s="13">
        <f>30</f>
        <v>30</v>
      </c>
      <c r="W83" s="13"/>
      <c r="X83" s="13"/>
      <c r="Y83" s="13"/>
      <c r="Z83" s="95">
        <f>9</f>
        <v>9</v>
      </c>
      <c r="AA83" s="96">
        <f>SUM(S83:Y83)</f>
        <v>54</v>
      </c>
      <c r="AB83" s="97">
        <f>IF(C83=2010, AA83/3,AA83)+Z83</f>
        <v>63</v>
      </c>
    </row>
    <row r="84" spans="1:47" s="3" customFormat="1" x14ac:dyDescent="0.25">
      <c r="A84" s="60" t="s">
        <v>464</v>
      </c>
      <c r="B84" s="85" t="s">
        <v>0</v>
      </c>
      <c r="C84" s="62">
        <v>2007</v>
      </c>
      <c r="D84" s="1">
        <f>Q84+G84+F84+E84</f>
        <v>72.666666666666657</v>
      </c>
      <c r="E84" s="177">
        <f>0+3+3</f>
        <v>6</v>
      </c>
      <c r="F84" s="50">
        <f>8+6</f>
        <v>14</v>
      </c>
      <c r="G84" s="50">
        <f>8+3</f>
        <v>11</v>
      </c>
      <c r="H84" s="120"/>
      <c r="I84" s="22"/>
      <c r="J84" s="50">
        <f>44</f>
        <v>44</v>
      </c>
      <c r="K84" s="50">
        <f>34</f>
        <v>34</v>
      </c>
      <c r="L84" s="50">
        <f>38</f>
        <v>38</v>
      </c>
      <c r="M84" s="50"/>
      <c r="N84" s="50">
        <f>AB84</f>
        <v>9</v>
      </c>
      <c r="O84" s="120"/>
      <c r="P84" s="96">
        <f>SUM(J84:N84)</f>
        <v>125</v>
      </c>
      <c r="Q84" s="97">
        <f>IF(C84=2007, P84/3,P84)+O84</f>
        <v>41.666666666666664</v>
      </c>
      <c r="R84" s="22"/>
      <c r="S84" s="13"/>
      <c r="T84" s="13"/>
      <c r="U84" s="13"/>
      <c r="V84" s="13"/>
      <c r="W84" s="13">
        <f>6</f>
        <v>6</v>
      </c>
      <c r="X84" s="13">
        <f>3</f>
        <v>3</v>
      </c>
      <c r="Y84" s="13"/>
      <c r="Z84" s="95"/>
      <c r="AA84" s="96">
        <f>SUM(S84:Y84)</f>
        <v>9</v>
      </c>
      <c r="AB84" s="97">
        <f>IF(C84=2010, AA84/3,AA84)+Z84</f>
        <v>9</v>
      </c>
    </row>
    <row r="85" spans="1:47" s="3" customFormat="1" x14ac:dyDescent="0.25">
      <c r="A85" s="60" t="s">
        <v>187</v>
      </c>
      <c r="B85" s="85" t="s">
        <v>64</v>
      </c>
      <c r="C85" s="62">
        <v>2006</v>
      </c>
      <c r="D85" s="1">
        <f>Q85+G85+F85+E85</f>
        <v>174.66666666666666</v>
      </c>
      <c r="E85" s="177"/>
      <c r="F85" s="50">
        <f>15+15+3+3</f>
        <v>36</v>
      </c>
      <c r="G85" s="50">
        <f>21+3+3</f>
        <v>27</v>
      </c>
      <c r="H85" s="120"/>
      <c r="I85" s="22"/>
      <c r="J85" s="50"/>
      <c r="K85" s="50">
        <f>0+3</f>
        <v>3</v>
      </c>
      <c r="L85" s="50">
        <f>24+9</f>
        <v>33</v>
      </c>
      <c r="M85" s="50">
        <f>21+6</f>
        <v>27</v>
      </c>
      <c r="N85" s="50">
        <f>AB85</f>
        <v>48.666666666666664</v>
      </c>
      <c r="O85" s="120"/>
      <c r="P85" s="96">
        <f>SUM(J85:N85)</f>
        <v>111.66666666666666</v>
      </c>
      <c r="Q85" s="97">
        <f>IF(C85=2007, P85/3,P85)+O85</f>
        <v>111.66666666666666</v>
      </c>
      <c r="R85" s="22"/>
      <c r="S85" s="13"/>
      <c r="T85" s="13">
        <v>51</v>
      </c>
      <c r="U85" s="13"/>
      <c r="V85" s="13"/>
      <c r="W85" s="13"/>
      <c r="X85" s="13"/>
      <c r="Y85" s="13">
        <f>95</f>
        <v>95</v>
      </c>
      <c r="Z85" s="95"/>
      <c r="AA85" s="96">
        <f>SUM(S85:Y85)</f>
        <v>146</v>
      </c>
      <c r="AB85" s="97">
        <f>IF(C85=2006, AA85/3,AA85)+Z85</f>
        <v>48.666666666666664</v>
      </c>
    </row>
    <row r="86" spans="1:47" s="3" customFormat="1" x14ac:dyDescent="0.25">
      <c r="A86" s="60" t="s">
        <v>514</v>
      </c>
      <c r="B86" s="85" t="s">
        <v>8</v>
      </c>
      <c r="C86" s="62">
        <v>2007</v>
      </c>
      <c r="D86" s="1">
        <f>Q86+G86+F86+E86</f>
        <v>30</v>
      </c>
      <c r="E86" s="177"/>
      <c r="F86" s="50"/>
      <c r="G86" s="50"/>
      <c r="H86" s="120"/>
      <c r="I86" s="22"/>
      <c r="J86" s="50"/>
      <c r="K86" s="50"/>
      <c r="L86" s="50">
        <f>14</f>
        <v>14</v>
      </c>
      <c r="M86" s="50"/>
      <c r="N86" s="50">
        <f>AB86</f>
        <v>76</v>
      </c>
      <c r="O86" s="120"/>
      <c r="P86" s="96">
        <f>SUM(J86:N86)</f>
        <v>90</v>
      </c>
      <c r="Q86" s="97">
        <f>IF(C86=2007, P86/3,P86)+O86</f>
        <v>30</v>
      </c>
      <c r="R86" s="22"/>
      <c r="S86" s="13"/>
      <c r="T86" s="13"/>
      <c r="U86" s="13"/>
      <c r="V86" s="13"/>
      <c r="W86" s="13"/>
      <c r="X86" s="13">
        <f>0</f>
        <v>0</v>
      </c>
      <c r="Y86" s="13">
        <f>70</f>
        <v>70</v>
      </c>
      <c r="Z86" s="95">
        <f>6</f>
        <v>6</v>
      </c>
      <c r="AA86" s="96">
        <f>SUM(S86:Y86)</f>
        <v>70</v>
      </c>
      <c r="AB86" s="97">
        <f>IF(C86=2010, AA86/3,AA86)+Z86</f>
        <v>76</v>
      </c>
    </row>
    <row r="87" spans="1:47" s="3" customFormat="1" x14ac:dyDescent="0.25">
      <c r="A87" s="60" t="s">
        <v>534</v>
      </c>
      <c r="B87" s="65" t="s">
        <v>535</v>
      </c>
      <c r="C87" s="62">
        <v>2005</v>
      </c>
      <c r="D87" s="1">
        <f>Q87+G87+F87+E87</f>
        <v>15</v>
      </c>
      <c r="E87" s="177"/>
      <c r="F87" s="50"/>
      <c r="G87" s="50"/>
      <c r="H87" s="120"/>
      <c r="I87" s="22"/>
      <c r="J87" s="50"/>
      <c r="K87" s="50">
        <f>6</f>
        <v>6</v>
      </c>
      <c r="L87" s="50"/>
      <c r="M87" s="50"/>
      <c r="N87" s="50">
        <f>AB87</f>
        <v>9</v>
      </c>
      <c r="O87" s="120"/>
      <c r="P87" s="96">
        <f>SUM(J87:N87)</f>
        <v>15</v>
      </c>
      <c r="Q87" s="97">
        <f>IF(C87=2007, P87/3,P87)+O87</f>
        <v>15</v>
      </c>
      <c r="R87" s="22"/>
      <c r="S87" s="26"/>
      <c r="T87" s="26"/>
      <c r="U87" s="26"/>
      <c r="V87" s="26"/>
      <c r="W87" s="26"/>
      <c r="X87" s="26">
        <f>0</f>
        <v>0</v>
      </c>
      <c r="Y87" s="26">
        <f>9</f>
        <v>9</v>
      </c>
      <c r="Z87" s="95"/>
      <c r="AA87" s="96">
        <f>SUM(S87:Y87)</f>
        <v>9</v>
      </c>
      <c r="AB87" s="97">
        <f>IF(C87=2006, AA87/3,AA87)+Z87</f>
        <v>9</v>
      </c>
    </row>
    <row r="88" spans="1:47" s="3" customFormat="1" x14ac:dyDescent="0.25">
      <c r="A88" s="51" t="s">
        <v>371</v>
      </c>
      <c r="B88" s="84" t="s">
        <v>7</v>
      </c>
      <c r="C88" s="52">
        <v>2007</v>
      </c>
      <c r="D88" s="1">
        <f>Q88+G88+F88+E88</f>
        <v>38.666666666666664</v>
      </c>
      <c r="E88" s="177"/>
      <c r="F88" s="50"/>
      <c r="G88" s="50"/>
      <c r="H88" s="120"/>
      <c r="I88" s="22"/>
      <c r="J88" s="50"/>
      <c r="K88" s="50"/>
      <c r="L88" s="50">
        <f>90</f>
        <v>90</v>
      </c>
      <c r="M88" s="50"/>
      <c r="N88" s="50">
        <f>AB88</f>
        <v>26</v>
      </c>
      <c r="O88" s="120"/>
      <c r="P88" s="96">
        <f>SUM(J88:N88)</f>
        <v>116</v>
      </c>
      <c r="Q88" s="97">
        <f>IF(C88=2007, P88/3,P88)+O88</f>
        <v>38.666666666666664</v>
      </c>
      <c r="R88" s="22"/>
      <c r="S88" s="50"/>
      <c r="T88" s="50"/>
      <c r="U88" s="50"/>
      <c r="V88" s="50">
        <f>0</f>
        <v>0</v>
      </c>
      <c r="W88" s="50"/>
      <c r="X88" s="50"/>
      <c r="Y88" s="50">
        <f>26</f>
        <v>26</v>
      </c>
      <c r="Z88" s="95"/>
      <c r="AA88" s="96">
        <f>SUM(S88:Y88)</f>
        <v>26</v>
      </c>
      <c r="AB88" s="97">
        <f>IF(C88=2010, AA88/3,AA88)+Z88</f>
        <v>26</v>
      </c>
    </row>
    <row r="89" spans="1:47" s="3" customFormat="1" x14ac:dyDescent="0.25">
      <c r="A89" s="51" t="s">
        <v>372</v>
      </c>
      <c r="B89" s="84" t="s">
        <v>7</v>
      </c>
      <c r="C89" s="52">
        <v>2007</v>
      </c>
      <c r="D89" s="1">
        <f>Q89+G89+F89+E89</f>
        <v>20.666666666666668</v>
      </c>
      <c r="E89" s="177"/>
      <c r="F89" s="50"/>
      <c r="G89" s="50"/>
      <c r="H89" s="120"/>
      <c r="I89" s="22"/>
      <c r="J89" s="50"/>
      <c r="K89" s="50"/>
      <c r="L89" s="50">
        <f>39</f>
        <v>39</v>
      </c>
      <c r="M89" s="50"/>
      <c r="N89" s="50">
        <f>AB89</f>
        <v>23</v>
      </c>
      <c r="O89" s="120"/>
      <c r="P89" s="96">
        <f>SUM(J89:N89)</f>
        <v>62</v>
      </c>
      <c r="Q89" s="97">
        <f>IF(C89=2007, P89/3,P89)+O89</f>
        <v>20.666666666666668</v>
      </c>
      <c r="R89" s="22"/>
      <c r="S89" s="182"/>
      <c r="T89" s="182"/>
      <c r="U89" s="182"/>
      <c r="V89" s="182">
        <f>0</f>
        <v>0</v>
      </c>
      <c r="W89" s="182"/>
      <c r="X89" s="182"/>
      <c r="Y89" s="182">
        <f>23</f>
        <v>23</v>
      </c>
      <c r="Z89" s="95"/>
      <c r="AA89" s="96">
        <f>SUM(S89:Y89)</f>
        <v>23</v>
      </c>
      <c r="AB89" s="97">
        <f>IF(C89=2010, AA89/3,AA89)+Z89</f>
        <v>23</v>
      </c>
    </row>
    <row r="90" spans="1:47" s="3" customFormat="1" x14ac:dyDescent="0.25">
      <c r="A90" s="51" t="s">
        <v>51</v>
      </c>
      <c r="B90" s="84" t="s">
        <v>23</v>
      </c>
      <c r="C90" s="52">
        <v>2007</v>
      </c>
      <c r="D90" s="1">
        <f>Q90+G90+F90+E90</f>
        <v>90.333333333333329</v>
      </c>
      <c r="E90" s="177"/>
      <c r="F90" s="50"/>
      <c r="G90" s="50"/>
      <c r="H90" s="120"/>
      <c r="I90" s="22"/>
      <c r="J90" s="50"/>
      <c r="K90" s="50"/>
      <c r="L90" s="50">
        <f>22+93</f>
        <v>115</v>
      </c>
      <c r="M90" s="50"/>
      <c r="N90" s="50">
        <f>AB90</f>
        <v>156</v>
      </c>
      <c r="O90" s="120"/>
      <c r="P90" s="96">
        <f>SUM(J90:N90)</f>
        <v>271</v>
      </c>
      <c r="Q90" s="97">
        <f>IF(C90=2007, P90/3,P90)+O90</f>
        <v>90.333333333333329</v>
      </c>
      <c r="R90" s="22"/>
      <c r="S90" s="182">
        <f>0</f>
        <v>0</v>
      </c>
      <c r="T90" s="182"/>
      <c r="U90" s="182"/>
      <c r="V90" s="182"/>
      <c r="W90" s="182"/>
      <c r="X90" s="182"/>
      <c r="Y90" s="182">
        <v>156</v>
      </c>
      <c r="Z90" s="95"/>
      <c r="AA90" s="96">
        <f>SUM(S90:Y90)</f>
        <v>156</v>
      </c>
      <c r="AB90" s="97">
        <f>IF(C90=2010, AA90/3,AA90)+Z90</f>
        <v>156</v>
      </c>
    </row>
    <row r="91" spans="1:47" x14ac:dyDescent="0.25">
      <c r="A91" s="60" t="s">
        <v>587</v>
      </c>
      <c r="B91" s="65" t="s">
        <v>554</v>
      </c>
      <c r="C91" s="62">
        <v>2007</v>
      </c>
      <c r="D91" s="1">
        <f>Q91+G91+F91+E91</f>
        <v>6</v>
      </c>
      <c r="E91" s="177"/>
      <c r="F91" s="50"/>
      <c r="G91" s="50"/>
      <c r="H91" s="120"/>
      <c r="I91" s="22"/>
      <c r="J91" s="50"/>
      <c r="K91" s="50">
        <f>0+12</f>
        <v>12</v>
      </c>
      <c r="L91" s="50"/>
      <c r="M91" s="50">
        <f>3+3</f>
        <v>6</v>
      </c>
      <c r="N91" s="50"/>
      <c r="O91" s="120"/>
      <c r="P91" s="96">
        <f>SUM(J91:N91)</f>
        <v>18</v>
      </c>
      <c r="Q91" s="97">
        <f>IF(C91=2007, P91/3,P91)+O91</f>
        <v>6</v>
      </c>
      <c r="R91" s="22"/>
      <c r="S91" s="13"/>
      <c r="T91" s="13"/>
      <c r="U91" s="13"/>
      <c r="V91" s="13"/>
      <c r="W91" s="13"/>
      <c r="X91" s="13"/>
      <c r="Y91" s="13"/>
      <c r="Z91" s="95"/>
      <c r="AA91" s="96"/>
      <c r="AB91" s="97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s="3" customFormat="1" x14ac:dyDescent="0.25">
      <c r="A92" s="60" t="s">
        <v>210</v>
      </c>
      <c r="B92" s="65" t="s">
        <v>112</v>
      </c>
      <c r="C92" s="62">
        <v>2003</v>
      </c>
      <c r="D92" s="1">
        <f>Q92+G92+F92+E92</f>
        <v>53</v>
      </c>
      <c r="E92" s="177"/>
      <c r="F92" s="50"/>
      <c r="G92" s="50"/>
      <c r="H92" s="120"/>
      <c r="I92" s="22"/>
      <c r="J92" s="50"/>
      <c r="K92" s="50"/>
      <c r="L92" s="50"/>
      <c r="M92" s="50"/>
      <c r="N92" s="50">
        <f>AB92</f>
        <v>53</v>
      </c>
      <c r="O92" s="120"/>
      <c r="P92" s="96">
        <f>SUM(J92:N92)</f>
        <v>53</v>
      </c>
      <c r="Q92" s="97">
        <f>IF(C92=2007, P92/3,P92)+O92</f>
        <v>53</v>
      </c>
      <c r="R92" s="22"/>
      <c r="S92" s="26"/>
      <c r="T92" s="26">
        <v>5</v>
      </c>
      <c r="U92" s="26"/>
      <c r="V92" s="26">
        <f>6</f>
        <v>6</v>
      </c>
      <c r="W92" s="26"/>
      <c r="X92" s="26"/>
      <c r="Y92" s="26">
        <f>42</f>
        <v>42</v>
      </c>
      <c r="Z92" s="95"/>
      <c r="AA92" s="96">
        <f>SUM(S92:Y92)</f>
        <v>53</v>
      </c>
      <c r="AB92" s="97">
        <f>IF(C92=2006, AA92/3,AA92)+Z92</f>
        <v>53</v>
      </c>
    </row>
    <row r="93" spans="1:47" s="3" customFormat="1" x14ac:dyDescent="0.25">
      <c r="A93" s="60" t="s">
        <v>523</v>
      </c>
      <c r="B93" s="65" t="s">
        <v>87</v>
      </c>
      <c r="C93" s="62">
        <v>2007</v>
      </c>
      <c r="D93" s="1">
        <f>Q93+G93+F93+E93</f>
        <v>4</v>
      </c>
      <c r="E93" s="177"/>
      <c r="F93" s="50"/>
      <c r="G93" s="50"/>
      <c r="H93" s="120"/>
      <c r="I93" s="22"/>
      <c r="J93" s="50"/>
      <c r="K93" s="50"/>
      <c r="L93" s="50"/>
      <c r="M93" s="50"/>
      <c r="N93" s="50">
        <f>AB93</f>
        <v>12</v>
      </c>
      <c r="O93" s="120"/>
      <c r="P93" s="96">
        <f>SUM(J93:N93)</f>
        <v>12</v>
      </c>
      <c r="Q93" s="97">
        <f>IF(C93=2007, P93/3,P93)+O93</f>
        <v>4</v>
      </c>
      <c r="R93" s="22"/>
      <c r="S93" s="13"/>
      <c r="T93" s="13"/>
      <c r="U93" s="13"/>
      <c r="V93" s="13"/>
      <c r="W93" s="13"/>
      <c r="X93" s="13">
        <f>0</f>
        <v>0</v>
      </c>
      <c r="Y93" s="13">
        <f>9</f>
        <v>9</v>
      </c>
      <c r="Z93" s="95">
        <f>3</f>
        <v>3</v>
      </c>
      <c r="AA93" s="96">
        <f>SUM(S93:Y93)</f>
        <v>9</v>
      </c>
      <c r="AB93" s="97">
        <f>IF(C93=2010, AA93/3,AA93)+Z93</f>
        <v>12</v>
      </c>
    </row>
    <row r="94" spans="1:47" s="3" customFormat="1" x14ac:dyDescent="0.25">
      <c r="A94" s="60" t="s">
        <v>543</v>
      </c>
      <c r="B94" s="65" t="s">
        <v>535</v>
      </c>
      <c r="C94" s="62">
        <v>2005</v>
      </c>
      <c r="D94" s="1">
        <f>Q94+G94+F94+E94</f>
        <v>0</v>
      </c>
      <c r="E94" s="177"/>
      <c r="F94" s="50"/>
      <c r="G94" s="50"/>
      <c r="H94" s="120"/>
      <c r="I94" s="22"/>
      <c r="J94" s="50"/>
      <c r="K94" s="50"/>
      <c r="L94" s="50"/>
      <c r="M94" s="50"/>
      <c r="N94" s="50">
        <f>AB94</f>
        <v>0</v>
      </c>
      <c r="O94" s="120"/>
      <c r="P94" s="96">
        <f>SUM(J94:N94)</f>
        <v>0</v>
      </c>
      <c r="Q94" s="97">
        <f>IF(C94=2007, P94/3,P94)+O94</f>
        <v>0</v>
      </c>
      <c r="R94" s="22"/>
      <c r="S94" s="26"/>
      <c r="T94" s="26"/>
      <c r="U94" s="26"/>
      <c r="V94" s="26"/>
      <c r="W94" s="26"/>
      <c r="X94" s="26">
        <f>0</f>
        <v>0</v>
      </c>
      <c r="Y94" s="26"/>
      <c r="Z94" s="95"/>
      <c r="AA94" s="96">
        <f>SUM(S94:Y94)</f>
        <v>0</v>
      </c>
      <c r="AB94" s="97">
        <f>IF(C94=2006, AA94/3,AA94)+Z94</f>
        <v>0</v>
      </c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</row>
    <row r="95" spans="1:47" s="3" customFormat="1" x14ac:dyDescent="0.25">
      <c r="A95" s="51" t="s">
        <v>55</v>
      </c>
      <c r="B95" s="65" t="s">
        <v>63</v>
      </c>
      <c r="C95" s="52">
        <v>2007</v>
      </c>
      <c r="D95" s="1">
        <f>Q95+G95+F95+E95</f>
        <v>128.55555555555554</v>
      </c>
      <c r="E95" s="177">
        <f>9</f>
        <v>9</v>
      </c>
      <c r="F95" s="50">
        <f>9</f>
        <v>9</v>
      </c>
      <c r="G95" s="50"/>
      <c r="H95" s="120"/>
      <c r="I95" s="22"/>
      <c r="J95" s="50"/>
      <c r="K95" s="50"/>
      <c r="L95" s="50"/>
      <c r="M95" s="50"/>
      <c r="N95" s="50">
        <f>AB95</f>
        <v>331.66666666666669</v>
      </c>
      <c r="O95" s="120"/>
      <c r="P95" s="96">
        <f>SUM(J95:N95)</f>
        <v>331.66666666666669</v>
      </c>
      <c r="Q95" s="97">
        <f>IF(C95=2007, P95/3,P95)+O95</f>
        <v>110.55555555555556</v>
      </c>
      <c r="R95" s="22"/>
      <c r="S95" s="182">
        <f>6</f>
        <v>6</v>
      </c>
      <c r="T95" s="182">
        <f>42</f>
        <v>42</v>
      </c>
      <c r="U95" s="182"/>
      <c r="V95" s="182">
        <f>42</f>
        <v>42</v>
      </c>
      <c r="W95" s="182"/>
      <c r="X95" s="182"/>
      <c r="Y95" s="182">
        <v>241.66666666666669</v>
      </c>
      <c r="Z95" s="95"/>
      <c r="AA95" s="96">
        <f>SUM(S95:Y95)</f>
        <v>331.66666666666669</v>
      </c>
      <c r="AB95" s="97">
        <f>IF(C95=2010, AA95/3,AA95)+Z95</f>
        <v>331.66666666666669</v>
      </c>
    </row>
    <row r="96" spans="1:47" x14ac:dyDescent="0.25">
      <c r="A96" s="60" t="s">
        <v>392</v>
      </c>
      <c r="B96" s="65" t="s">
        <v>112</v>
      </c>
      <c r="C96" s="62">
        <v>2005</v>
      </c>
      <c r="D96" s="1">
        <f>Q96+G96+F96+E96</f>
        <v>1</v>
      </c>
      <c r="E96" s="177"/>
      <c r="F96" s="50"/>
      <c r="G96" s="50"/>
      <c r="H96" s="120"/>
      <c r="I96" s="22"/>
      <c r="J96" s="50"/>
      <c r="K96" s="50"/>
      <c r="L96" s="50"/>
      <c r="M96" s="50"/>
      <c r="N96" s="50">
        <f>AB96</f>
        <v>1</v>
      </c>
      <c r="O96" s="120"/>
      <c r="P96" s="96">
        <f>SUM(J96:N96)</f>
        <v>1</v>
      </c>
      <c r="Q96" s="97">
        <f>IF(C96=2007, P96/3,P96)+O96</f>
        <v>1</v>
      </c>
      <c r="R96" s="22"/>
      <c r="V96" s="26">
        <f>1</f>
        <v>1</v>
      </c>
      <c r="Z96" s="95"/>
      <c r="AA96" s="96">
        <f>SUM(S96:Y96)</f>
        <v>1</v>
      </c>
      <c r="AB96" s="97">
        <f>IF(C96=2006, AA96/3,AA96)+Z96</f>
        <v>1</v>
      </c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 s="3" customFormat="1" x14ac:dyDescent="0.25">
      <c r="A97" s="60" t="s">
        <v>501</v>
      </c>
      <c r="B97" s="65" t="s">
        <v>233</v>
      </c>
      <c r="C97" s="62">
        <v>2007</v>
      </c>
      <c r="D97" s="1">
        <f>Q97+G97+F97+E97</f>
        <v>4</v>
      </c>
      <c r="E97" s="177"/>
      <c r="F97" s="50"/>
      <c r="G97" s="50"/>
      <c r="H97" s="120"/>
      <c r="I97" s="22"/>
      <c r="J97" s="50"/>
      <c r="K97" s="50"/>
      <c r="L97" s="50"/>
      <c r="M97" s="50"/>
      <c r="N97" s="50">
        <f>AB97</f>
        <v>12</v>
      </c>
      <c r="O97" s="120"/>
      <c r="P97" s="96">
        <f>SUM(J97:N97)</f>
        <v>12</v>
      </c>
      <c r="Q97" s="97">
        <f>IF(C97=2007, P97/3,P97)+O97</f>
        <v>4</v>
      </c>
      <c r="R97" s="22"/>
      <c r="S97" s="13"/>
      <c r="T97" s="13"/>
      <c r="U97" s="13"/>
      <c r="V97" s="13"/>
      <c r="W97" s="13"/>
      <c r="X97" s="13">
        <f>12</f>
        <v>12</v>
      </c>
      <c r="Y97" s="13"/>
      <c r="Z97" s="95"/>
      <c r="AA97" s="96">
        <f>SUM(S97:Y97)</f>
        <v>12</v>
      </c>
      <c r="AB97" s="97">
        <f>IF(C97=2010, AA97/3,AA97)+Z97</f>
        <v>12</v>
      </c>
    </row>
    <row r="98" spans="1:47" s="3" customFormat="1" x14ac:dyDescent="0.25">
      <c r="A98" s="60" t="s">
        <v>221</v>
      </c>
      <c r="B98" s="65" t="s">
        <v>87</v>
      </c>
      <c r="C98" s="62">
        <v>2005</v>
      </c>
      <c r="D98" s="1">
        <f>Q98+G98+F98+E98</f>
        <v>0</v>
      </c>
      <c r="E98" s="177"/>
      <c r="F98" s="50"/>
      <c r="G98" s="50"/>
      <c r="H98" s="120"/>
      <c r="I98" s="22"/>
      <c r="J98" s="50"/>
      <c r="K98" s="50"/>
      <c r="L98" s="50"/>
      <c r="M98" s="50"/>
      <c r="N98" s="50">
        <f>AB98</f>
        <v>0</v>
      </c>
      <c r="O98" s="120"/>
      <c r="P98" s="96">
        <f>SUM(J98:N98)</f>
        <v>0</v>
      </c>
      <c r="Q98" s="97">
        <f>IF(C98=2007, P98/3,P98)+O98</f>
        <v>0</v>
      </c>
      <c r="R98" s="22"/>
      <c r="S98" s="26"/>
      <c r="T98" s="26">
        <v>0</v>
      </c>
      <c r="U98" s="26"/>
      <c r="V98" s="26"/>
      <c r="W98" s="26"/>
      <c r="X98" s="26"/>
      <c r="Y98" s="26"/>
      <c r="Z98" s="95"/>
      <c r="AA98" s="96">
        <f>SUM(S98:Y98)</f>
        <v>0</v>
      </c>
      <c r="AB98" s="97">
        <f>IF(C98=2006, AA98/3,AA98)+Z98</f>
        <v>0</v>
      </c>
    </row>
    <row r="99" spans="1:47" s="3" customFormat="1" x14ac:dyDescent="0.25">
      <c r="A99" s="60" t="s">
        <v>529</v>
      </c>
      <c r="B99" s="65" t="s">
        <v>63</v>
      </c>
      <c r="C99" s="62">
        <v>2001</v>
      </c>
      <c r="D99" s="1">
        <f>Q99+G99+F99+E99</f>
        <v>71</v>
      </c>
      <c r="E99" s="177">
        <f>9</f>
        <v>9</v>
      </c>
      <c r="F99" s="50">
        <f>9</f>
        <v>9</v>
      </c>
      <c r="G99" s="50"/>
      <c r="H99" s="120"/>
      <c r="I99" s="22"/>
      <c r="J99" s="50"/>
      <c r="K99" s="50"/>
      <c r="L99" s="50">
        <f>6</f>
        <v>6</v>
      </c>
      <c r="M99" s="50">
        <f>6+3+3</f>
        <v>12</v>
      </c>
      <c r="N99" s="50">
        <f>AB99</f>
        <v>35</v>
      </c>
      <c r="O99" s="120"/>
      <c r="P99" s="96">
        <f>SUM(J99:N99)</f>
        <v>53</v>
      </c>
      <c r="Q99" s="97">
        <f>IF(C99=2007, P99/3,P99)+O99</f>
        <v>53</v>
      </c>
      <c r="R99" s="22"/>
      <c r="S99" s="26"/>
      <c r="T99" s="26"/>
      <c r="U99" s="26"/>
      <c r="V99" s="26"/>
      <c r="W99" s="26"/>
      <c r="X99" s="26">
        <f>3+3+6</f>
        <v>12</v>
      </c>
      <c r="Y99" s="26">
        <f>23</f>
        <v>23</v>
      </c>
      <c r="Z99" s="95"/>
      <c r="AA99" s="96">
        <f>SUM(S99:Y99)</f>
        <v>35</v>
      </c>
      <c r="AB99" s="97">
        <f>IF(C99=2006, AA99/3,AA99)+Z99</f>
        <v>35</v>
      </c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</row>
    <row r="100" spans="1:47" s="3" customFormat="1" x14ac:dyDescent="0.25">
      <c r="A100" s="60" t="s">
        <v>586</v>
      </c>
      <c r="B100" s="65" t="s">
        <v>554</v>
      </c>
      <c r="C100" s="62">
        <v>2007</v>
      </c>
      <c r="D100" s="1">
        <f>Q100+G100+F100+E100</f>
        <v>32</v>
      </c>
      <c r="E100" s="177"/>
      <c r="F100" s="50"/>
      <c r="G100" s="50"/>
      <c r="H100" s="120"/>
      <c r="I100" s="22"/>
      <c r="J100" s="50"/>
      <c r="K100" s="50">
        <f>30+12</f>
        <v>42</v>
      </c>
      <c r="L100" s="50"/>
      <c r="M100" s="50">
        <f>6+3</f>
        <v>9</v>
      </c>
      <c r="N100" s="50">
        <f>AB100</f>
        <v>45</v>
      </c>
      <c r="O100" s="120"/>
      <c r="P100" s="96">
        <f>SUM(J100:N100)</f>
        <v>96</v>
      </c>
      <c r="Q100" s="97">
        <f>IF(C100=2007, P100/3,P100)+O100</f>
        <v>32</v>
      </c>
      <c r="R100" s="22"/>
      <c r="S100" s="13"/>
      <c r="T100" s="13">
        <f>21+24</f>
        <v>45</v>
      </c>
      <c r="U100" s="13"/>
      <c r="V100" s="13"/>
      <c r="W100" s="13"/>
      <c r="X100" s="13"/>
      <c r="Y100" s="13"/>
      <c r="Z100" s="95"/>
      <c r="AA100" s="96">
        <f>SUM(S100:Y100)</f>
        <v>45</v>
      </c>
      <c r="AB100" s="97">
        <f>IF(C100=2010, AA100/3,AA100)+Z100</f>
        <v>45</v>
      </c>
    </row>
    <row r="101" spans="1:47" s="3" customFormat="1" x14ac:dyDescent="0.25">
      <c r="A101" s="60" t="s">
        <v>191</v>
      </c>
      <c r="B101" s="85" t="s">
        <v>64</v>
      </c>
      <c r="C101" s="62">
        <v>2007</v>
      </c>
      <c r="D101" s="1">
        <f>Q101+G101+F101+E101</f>
        <v>14</v>
      </c>
      <c r="E101" s="177"/>
      <c r="F101" s="50">
        <f>0+3+3</f>
        <v>6</v>
      </c>
      <c r="G101" s="50"/>
      <c r="H101" s="120"/>
      <c r="I101" s="22"/>
      <c r="J101" s="50"/>
      <c r="K101" s="50"/>
      <c r="L101" s="50"/>
      <c r="M101" s="50"/>
      <c r="N101" s="50">
        <f>AB101</f>
        <v>24</v>
      </c>
      <c r="O101" s="120"/>
      <c r="P101" s="96">
        <f>SUM(J101:N101)</f>
        <v>24</v>
      </c>
      <c r="Q101" s="97">
        <f>IF(C101=2007, P101/3,P101)+O101</f>
        <v>8</v>
      </c>
      <c r="R101" s="22"/>
      <c r="S101" s="13"/>
      <c r="T101" s="13">
        <v>24</v>
      </c>
      <c r="U101" s="13"/>
      <c r="V101" s="13"/>
      <c r="W101" s="13"/>
      <c r="X101" s="13"/>
      <c r="Y101" s="13"/>
      <c r="Z101" s="95"/>
      <c r="AA101" s="96">
        <f>SUM(S101:Y101)</f>
        <v>24</v>
      </c>
      <c r="AB101" s="97">
        <f>IF(C101=2010, AA101/3,AA101)+Z101</f>
        <v>24</v>
      </c>
    </row>
    <row r="102" spans="1:47" x14ac:dyDescent="0.25">
      <c r="A102" s="60" t="s">
        <v>506</v>
      </c>
      <c r="B102" s="85" t="s">
        <v>482</v>
      </c>
      <c r="C102" s="62">
        <v>2007</v>
      </c>
      <c r="D102" s="1">
        <f>Q102+G102+F102+E102</f>
        <v>30</v>
      </c>
      <c r="E102" s="177"/>
      <c r="F102" s="50">
        <f>2</f>
        <v>2</v>
      </c>
      <c r="G102" s="50"/>
      <c r="H102" s="120"/>
      <c r="I102" s="22"/>
      <c r="J102" s="50"/>
      <c r="K102" s="50">
        <f>22+3</f>
        <v>25</v>
      </c>
      <c r="L102" s="50">
        <f>32+5</f>
        <v>37</v>
      </c>
      <c r="M102" s="50">
        <f>19</f>
        <v>19</v>
      </c>
      <c r="N102" s="50">
        <f>AB102</f>
        <v>3</v>
      </c>
      <c r="O102" s="120"/>
      <c r="P102" s="96">
        <f>SUM(J102:N102)</f>
        <v>84</v>
      </c>
      <c r="Q102" s="97">
        <f>IF(C102=2007, P102/3,P102)+O102</f>
        <v>28</v>
      </c>
      <c r="R102" s="22"/>
      <c r="S102" s="13"/>
      <c r="T102" s="13"/>
      <c r="U102" s="13"/>
      <c r="V102" s="13"/>
      <c r="W102" s="13"/>
      <c r="X102" s="13">
        <f>3</f>
        <v>3</v>
      </c>
      <c r="Y102" s="13"/>
      <c r="Z102" s="95"/>
      <c r="AA102" s="96">
        <f>SUM(S102:Y102)</f>
        <v>3</v>
      </c>
      <c r="AB102" s="97">
        <f>IF(C102=2010, AA102/3,AA102)+Z102</f>
        <v>3</v>
      </c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1:47" x14ac:dyDescent="0.25">
      <c r="A103" s="60" t="s">
        <v>213</v>
      </c>
      <c r="B103" s="65" t="s">
        <v>87</v>
      </c>
      <c r="C103" s="62">
        <v>2005</v>
      </c>
      <c r="D103" s="1">
        <f>Q103+G103+F103+E103</f>
        <v>3</v>
      </c>
      <c r="E103" s="177"/>
      <c r="F103" s="50"/>
      <c r="G103" s="50"/>
      <c r="H103" s="120"/>
      <c r="I103" s="22"/>
      <c r="J103" s="50"/>
      <c r="K103" s="50"/>
      <c r="L103" s="50"/>
      <c r="M103" s="50"/>
      <c r="N103" s="50">
        <f>AB103</f>
        <v>3</v>
      </c>
      <c r="O103" s="120"/>
      <c r="P103" s="96">
        <f>SUM(J103:N103)</f>
        <v>3</v>
      </c>
      <c r="Q103" s="97">
        <f>IF(C103=2007, P103/3,P103)+O103</f>
        <v>3</v>
      </c>
      <c r="R103" s="22"/>
      <c r="T103" s="26">
        <v>2</v>
      </c>
      <c r="V103" s="26">
        <f>1</f>
        <v>1</v>
      </c>
      <c r="Z103" s="95"/>
      <c r="AA103" s="96">
        <f>SUM(S103:Y103)</f>
        <v>3</v>
      </c>
      <c r="AB103" s="97">
        <f>IF(C103=2006, AA103/3,AA103)+Z103</f>
        <v>3</v>
      </c>
    </row>
    <row r="104" spans="1:47" s="3" customFormat="1" x14ac:dyDescent="0.25">
      <c r="A104" s="53" t="s">
        <v>505</v>
      </c>
      <c r="B104" s="84" t="s">
        <v>233</v>
      </c>
      <c r="C104" s="54">
        <v>2007</v>
      </c>
      <c r="D104" s="1">
        <f>Q104+G104+F104+E104</f>
        <v>1</v>
      </c>
      <c r="E104" s="177"/>
      <c r="F104" s="50"/>
      <c r="G104" s="50"/>
      <c r="H104" s="120"/>
      <c r="I104" s="22"/>
      <c r="J104" s="50"/>
      <c r="K104" s="50"/>
      <c r="L104" s="50"/>
      <c r="M104" s="50"/>
      <c r="N104" s="50">
        <f>AB104</f>
        <v>3</v>
      </c>
      <c r="O104" s="120"/>
      <c r="P104" s="96">
        <f>SUM(J104:N104)</f>
        <v>3</v>
      </c>
      <c r="Q104" s="97">
        <f>IF(C104=2007, P104/3,P104)+O104</f>
        <v>1</v>
      </c>
      <c r="R104" s="22"/>
      <c r="S104" s="41"/>
      <c r="T104" s="41"/>
      <c r="U104" s="41"/>
      <c r="V104" s="41"/>
      <c r="W104" s="41"/>
      <c r="X104" s="41">
        <f>3</f>
        <v>3</v>
      </c>
      <c r="Y104" s="41"/>
      <c r="Z104" s="95"/>
      <c r="AA104" s="96">
        <f>SUM(S104:Y104)</f>
        <v>3</v>
      </c>
      <c r="AB104" s="97">
        <f>IF(C104=2010, AA104/3,AA104)+Z104</f>
        <v>3</v>
      </c>
    </row>
    <row r="105" spans="1:47" s="3" customFormat="1" x14ac:dyDescent="0.25">
      <c r="A105" s="60" t="s">
        <v>527</v>
      </c>
      <c r="B105" s="65" t="s">
        <v>63</v>
      </c>
      <c r="C105" s="62">
        <v>2002</v>
      </c>
      <c r="D105" s="1">
        <f>Q105+G105+F105+E105</f>
        <v>51</v>
      </c>
      <c r="E105" s="177">
        <f>9</f>
        <v>9</v>
      </c>
      <c r="F105" s="50">
        <f>9</f>
        <v>9</v>
      </c>
      <c r="G105" s="50"/>
      <c r="H105" s="120"/>
      <c r="I105" s="22"/>
      <c r="J105" s="50"/>
      <c r="K105" s="50"/>
      <c r="L105" s="50">
        <f>3</f>
        <v>3</v>
      </c>
      <c r="M105" s="50">
        <f>9+3+3</f>
        <v>15</v>
      </c>
      <c r="N105" s="50">
        <f>AB105</f>
        <v>15</v>
      </c>
      <c r="O105" s="120"/>
      <c r="P105" s="96">
        <f>SUM(J105:N105)</f>
        <v>33</v>
      </c>
      <c r="Q105" s="97">
        <f>IF(C105=2007, P105/3,P105)+O105</f>
        <v>33</v>
      </c>
      <c r="R105" s="22"/>
      <c r="S105" s="26"/>
      <c r="T105" s="26"/>
      <c r="U105" s="26"/>
      <c r="V105" s="26"/>
      <c r="W105" s="26"/>
      <c r="X105" s="26">
        <f>6+3+6</f>
        <v>15</v>
      </c>
      <c r="Y105" s="26"/>
      <c r="Z105" s="95"/>
      <c r="AA105" s="96">
        <f>SUM(S105:Y105)</f>
        <v>15</v>
      </c>
      <c r="AB105" s="97">
        <f>IF(C105=2006, AA105/3,AA105)+Z105</f>
        <v>15</v>
      </c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</row>
    <row r="106" spans="1:47" s="3" customFormat="1" x14ac:dyDescent="0.25">
      <c r="A106" s="53" t="s">
        <v>57</v>
      </c>
      <c r="B106" s="86" t="s">
        <v>40</v>
      </c>
      <c r="C106" s="52">
        <v>2007</v>
      </c>
      <c r="D106" s="1">
        <f>Q106+G106+F106+E106</f>
        <v>0.66666666666666663</v>
      </c>
      <c r="E106" s="177"/>
      <c r="F106" s="50"/>
      <c r="G106" s="50"/>
      <c r="H106" s="120"/>
      <c r="I106" s="22"/>
      <c r="J106" s="50"/>
      <c r="K106" s="50"/>
      <c r="L106" s="50"/>
      <c r="M106" s="50"/>
      <c r="N106" s="50">
        <f>AB106</f>
        <v>2</v>
      </c>
      <c r="O106" s="120"/>
      <c r="P106" s="96">
        <f>SUM(J106:N106)</f>
        <v>2</v>
      </c>
      <c r="Q106" s="97">
        <f>IF(C106=2007, P106/3,P106)+O106</f>
        <v>0.66666666666666663</v>
      </c>
      <c r="R106" s="22"/>
      <c r="S106" s="41">
        <v>2</v>
      </c>
      <c r="T106" s="41"/>
      <c r="U106" s="41"/>
      <c r="V106" s="41"/>
      <c r="W106" s="41"/>
      <c r="X106" s="41"/>
      <c r="Y106" s="41"/>
      <c r="Z106" s="95"/>
      <c r="AA106" s="96">
        <f>SUM(S106:Y106)</f>
        <v>2</v>
      </c>
      <c r="AB106" s="97">
        <f>IF(C106=2010, AA106/3,AA106)+Z106</f>
        <v>2</v>
      </c>
    </row>
    <row r="107" spans="1:47" x14ac:dyDescent="0.25">
      <c r="A107" s="60" t="s">
        <v>537</v>
      </c>
      <c r="B107" s="65" t="s">
        <v>535</v>
      </c>
      <c r="C107" s="62">
        <v>2005</v>
      </c>
      <c r="D107" s="1">
        <f>Q107+G107+F107+E107</f>
        <v>8</v>
      </c>
      <c r="E107" s="177"/>
      <c r="F107" s="50"/>
      <c r="G107" s="50"/>
      <c r="H107" s="120"/>
      <c r="I107" s="22"/>
      <c r="J107" s="50"/>
      <c r="K107" s="50"/>
      <c r="L107" s="50"/>
      <c r="M107" s="50"/>
      <c r="N107" s="50">
        <f>AB107</f>
        <v>8</v>
      </c>
      <c r="O107" s="120"/>
      <c r="P107" s="96">
        <f>SUM(J107:N107)</f>
        <v>8</v>
      </c>
      <c r="Q107" s="97">
        <f>IF(C107=2007, P107/3,P107)+O107</f>
        <v>8</v>
      </c>
      <c r="R107" s="22"/>
      <c r="X107" s="26">
        <f>0</f>
        <v>0</v>
      </c>
      <c r="Y107" s="26">
        <f>8</f>
        <v>8</v>
      </c>
      <c r="Z107" s="95"/>
      <c r="AA107" s="96">
        <f>SUM(S107:Y107)</f>
        <v>8</v>
      </c>
      <c r="AB107" s="97">
        <f>IF(C107=2006, AA107/3,AA107)+Z107</f>
        <v>8</v>
      </c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1:47" x14ac:dyDescent="0.25">
      <c r="A108" s="51" t="s">
        <v>33</v>
      </c>
      <c r="B108" s="84" t="s">
        <v>87</v>
      </c>
      <c r="C108" s="52">
        <v>2007</v>
      </c>
      <c r="D108" s="1">
        <f>Q108+G108+F108+E108</f>
        <v>181</v>
      </c>
      <c r="E108" s="177"/>
      <c r="F108" s="50">
        <f>36+6+6</f>
        <v>48</v>
      </c>
      <c r="G108" s="50"/>
      <c r="H108" s="120"/>
      <c r="I108" s="22"/>
      <c r="J108" s="50"/>
      <c r="K108" s="50"/>
      <c r="L108" s="50">
        <f>231+102</f>
        <v>333</v>
      </c>
      <c r="M108" s="50"/>
      <c r="N108" s="50">
        <f>AB108</f>
        <v>66</v>
      </c>
      <c r="O108" s="120"/>
      <c r="P108" s="96">
        <f>SUM(J108:N108)</f>
        <v>399</v>
      </c>
      <c r="Q108" s="97">
        <f>IF(C108=2007, P108/3,P108)+O108</f>
        <v>133</v>
      </c>
      <c r="R108" s="22"/>
      <c r="S108" s="182">
        <f>12+6</f>
        <v>18</v>
      </c>
      <c r="T108" s="182"/>
      <c r="U108" s="182"/>
      <c r="V108" s="182"/>
      <c r="W108" s="182"/>
      <c r="X108" s="182"/>
      <c r="Y108" s="182">
        <v>48</v>
      </c>
      <c r="Z108" s="95"/>
      <c r="AA108" s="96">
        <f>SUM(S108:Y108)</f>
        <v>66</v>
      </c>
      <c r="AB108" s="97">
        <f>IF(C108=2010, AA108/3,AA108)+Z108</f>
        <v>66</v>
      </c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1:47" s="3" customFormat="1" x14ac:dyDescent="0.25">
      <c r="A109" s="60" t="s">
        <v>539</v>
      </c>
      <c r="B109" s="65" t="s">
        <v>535</v>
      </c>
      <c r="C109" s="62">
        <v>2005</v>
      </c>
      <c r="D109" s="1">
        <f>Q109+G109+F109+E109</f>
        <v>23</v>
      </c>
      <c r="E109" s="177"/>
      <c r="F109" s="50"/>
      <c r="G109" s="50"/>
      <c r="H109" s="120"/>
      <c r="I109" s="22"/>
      <c r="J109" s="182"/>
      <c r="K109" s="182"/>
      <c r="L109" s="50"/>
      <c r="M109" s="50"/>
      <c r="N109" s="50">
        <f>AB109</f>
        <v>23</v>
      </c>
      <c r="O109" s="120"/>
      <c r="P109" s="96">
        <f>SUM(J109:N109)</f>
        <v>23</v>
      </c>
      <c r="Q109" s="97">
        <f>IF(C109=2007, P109/3,P109)+O109</f>
        <v>23</v>
      </c>
      <c r="R109" s="22"/>
      <c r="S109" s="26"/>
      <c r="T109" s="26"/>
      <c r="U109" s="26"/>
      <c r="V109" s="26"/>
      <c r="W109" s="26"/>
      <c r="X109" s="26">
        <f>0</f>
        <v>0</v>
      </c>
      <c r="Y109" s="26">
        <f>23</f>
        <v>23</v>
      </c>
      <c r="Z109" s="95"/>
      <c r="AA109" s="96">
        <f>SUM(S109:Y109)</f>
        <v>23</v>
      </c>
      <c r="AB109" s="97">
        <f>IF(C109=2006, AA109/3,AA109)+Z109</f>
        <v>23</v>
      </c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</row>
    <row r="110" spans="1:47" s="3" customFormat="1" x14ac:dyDescent="0.25">
      <c r="A110" s="60" t="s">
        <v>153</v>
      </c>
      <c r="B110" s="65" t="s">
        <v>88</v>
      </c>
      <c r="C110" s="62">
        <v>2006</v>
      </c>
      <c r="D110" s="1">
        <f>Q110+G110+F110+E110</f>
        <v>7</v>
      </c>
      <c r="E110" s="177"/>
      <c r="F110" s="50"/>
      <c r="G110" s="50"/>
      <c r="H110" s="120"/>
      <c r="I110" s="22"/>
      <c r="J110" s="50"/>
      <c r="K110" s="50"/>
      <c r="L110" s="50"/>
      <c r="M110" s="50"/>
      <c r="N110" s="50">
        <f>AB110</f>
        <v>7</v>
      </c>
      <c r="O110" s="120"/>
      <c r="P110" s="96">
        <f>SUM(J110:N110)</f>
        <v>7</v>
      </c>
      <c r="Q110" s="97">
        <f>IF(C110=2007, P110/3,P110)+O110</f>
        <v>7</v>
      </c>
      <c r="R110" s="22"/>
      <c r="S110" s="13"/>
      <c r="T110" s="13">
        <f>19+2</f>
        <v>21</v>
      </c>
      <c r="U110" s="13"/>
      <c r="V110" s="13"/>
      <c r="W110" s="13"/>
      <c r="X110" s="13"/>
      <c r="Y110" s="13"/>
      <c r="Z110" s="95"/>
      <c r="AA110" s="96">
        <f>SUM(S110:Y110)</f>
        <v>21</v>
      </c>
      <c r="AB110" s="97">
        <f>IF(C110=2006, AA110/3,AA110)+Z110</f>
        <v>7</v>
      </c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</row>
    <row r="111" spans="1:47" s="3" customFormat="1" x14ac:dyDescent="0.25">
      <c r="A111" s="60" t="s">
        <v>503</v>
      </c>
      <c r="B111" s="65" t="s">
        <v>36</v>
      </c>
      <c r="C111" s="62">
        <v>2007</v>
      </c>
      <c r="D111" s="1">
        <f>Q111+G111+F111+E111</f>
        <v>5</v>
      </c>
      <c r="E111" s="177"/>
      <c r="F111" s="50"/>
      <c r="G111" s="50"/>
      <c r="H111" s="120"/>
      <c r="I111" s="22"/>
      <c r="J111" s="74"/>
      <c r="K111" s="74"/>
      <c r="L111" s="50"/>
      <c r="M111" s="50">
        <f>2</f>
        <v>2</v>
      </c>
      <c r="N111" s="50">
        <f>AB111</f>
        <v>13</v>
      </c>
      <c r="O111" s="120"/>
      <c r="P111" s="96">
        <f>SUM(J111:N111)</f>
        <v>15</v>
      </c>
      <c r="Q111" s="97">
        <f>IF(C111=2007, P111/3,P111)+O111</f>
        <v>5</v>
      </c>
      <c r="R111" s="22"/>
      <c r="S111" s="13"/>
      <c r="T111" s="13"/>
      <c r="U111" s="13"/>
      <c r="V111" s="13"/>
      <c r="W111" s="13"/>
      <c r="X111" s="13">
        <f>9+4</f>
        <v>13</v>
      </c>
      <c r="Y111" s="13"/>
      <c r="Z111" s="95"/>
      <c r="AA111" s="96">
        <f>SUM(S111:Y111)</f>
        <v>13</v>
      </c>
      <c r="AB111" s="97">
        <f>IF(C111=2010, AA111/3,AA111)+Z111</f>
        <v>13</v>
      </c>
    </row>
    <row r="112" spans="1:47" s="3" customFormat="1" x14ac:dyDescent="0.25">
      <c r="A112" s="60" t="s">
        <v>188</v>
      </c>
      <c r="B112" s="65" t="s">
        <v>87</v>
      </c>
      <c r="C112" s="62">
        <v>2007</v>
      </c>
      <c r="D112" s="1">
        <f>Q112+G112+F112+E112</f>
        <v>28</v>
      </c>
      <c r="E112" s="177"/>
      <c r="F112" s="50"/>
      <c r="G112" s="50"/>
      <c r="H112" s="120"/>
      <c r="I112" s="22"/>
      <c r="J112" s="50"/>
      <c r="K112" s="50"/>
      <c r="L112" s="50"/>
      <c r="M112" s="50"/>
      <c r="N112" s="50">
        <f>AB112</f>
        <v>84</v>
      </c>
      <c r="O112" s="120"/>
      <c r="P112" s="96">
        <f>SUM(J112:N112)</f>
        <v>84</v>
      </c>
      <c r="Q112" s="97">
        <f>IF(C112=2007, P112/3,P112)+O112</f>
        <v>28</v>
      </c>
      <c r="R112" s="22"/>
      <c r="S112" s="13"/>
      <c r="T112" s="13">
        <f>57+24</f>
        <v>81</v>
      </c>
      <c r="U112" s="13"/>
      <c r="V112" s="13"/>
      <c r="W112" s="13"/>
      <c r="X112" s="13">
        <v>0</v>
      </c>
      <c r="Y112" s="13"/>
      <c r="Z112" s="95">
        <f>3</f>
        <v>3</v>
      </c>
      <c r="AA112" s="96">
        <f>SUM(S112:Y112)</f>
        <v>81</v>
      </c>
      <c r="AB112" s="97">
        <f>IF(C112=2010, AA112/3,AA112)+Z112</f>
        <v>84</v>
      </c>
    </row>
    <row r="113" spans="1:47" s="3" customFormat="1" x14ac:dyDescent="0.25">
      <c r="A113" s="60" t="s">
        <v>216</v>
      </c>
      <c r="B113" s="65" t="s">
        <v>87</v>
      </c>
      <c r="C113" s="62">
        <v>2001</v>
      </c>
      <c r="D113" s="1">
        <f>Q113+G113+F113+E113</f>
        <v>36</v>
      </c>
      <c r="E113" s="177"/>
      <c r="F113" s="50"/>
      <c r="G113" s="50"/>
      <c r="H113" s="120"/>
      <c r="I113" s="22"/>
      <c r="J113" s="50"/>
      <c r="K113" s="50"/>
      <c r="L113" s="50"/>
      <c r="M113" s="50"/>
      <c r="N113" s="50">
        <f>AB113</f>
        <v>36</v>
      </c>
      <c r="O113" s="120"/>
      <c r="P113" s="96">
        <f>SUM(J113:N113)</f>
        <v>36</v>
      </c>
      <c r="Q113" s="97">
        <f>IF(C113=2007, P113/3,P113)+O113</f>
        <v>36</v>
      </c>
      <c r="R113" s="22"/>
      <c r="S113" s="26"/>
      <c r="T113" s="26">
        <v>24</v>
      </c>
      <c r="U113" s="26"/>
      <c r="V113" s="26">
        <f>9</f>
        <v>9</v>
      </c>
      <c r="W113" s="26"/>
      <c r="X113" s="26">
        <f>3</f>
        <v>3</v>
      </c>
      <c r="Y113" s="26"/>
      <c r="Z113" s="95"/>
      <c r="AA113" s="96">
        <f>SUM(S113:Y113)</f>
        <v>36</v>
      </c>
      <c r="AB113" s="97">
        <f>IF(C113=2006, AA113/3,AA113)+Z113</f>
        <v>36</v>
      </c>
    </row>
    <row r="114" spans="1:47" x14ac:dyDescent="0.25">
      <c r="A114" s="60" t="s">
        <v>219</v>
      </c>
      <c r="B114" s="65" t="s">
        <v>88</v>
      </c>
      <c r="C114" s="62">
        <v>2004</v>
      </c>
      <c r="D114" s="1">
        <f>Q114+G114+F114+E114</f>
        <v>15</v>
      </c>
      <c r="E114" s="177"/>
      <c r="F114" s="50"/>
      <c r="G114" s="50"/>
      <c r="H114" s="120"/>
      <c r="I114" s="22"/>
      <c r="J114" s="50"/>
      <c r="K114" s="50"/>
      <c r="L114" s="50"/>
      <c r="M114" s="50"/>
      <c r="N114" s="50">
        <f>AB114</f>
        <v>15</v>
      </c>
      <c r="O114" s="120"/>
      <c r="P114" s="96">
        <f>SUM(J114:N114)</f>
        <v>15</v>
      </c>
      <c r="Q114" s="97">
        <f>IF(C114=2007, P114/3,P114)+O114</f>
        <v>15</v>
      </c>
      <c r="R114" s="22"/>
      <c r="T114" s="26">
        <f>3+12</f>
        <v>15</v>
      </c>
      <c r="Z114" s="95"/>
      <c r="AA114" s="96">
        <f>SUM(S114:Y114)</f>
        <v>15</v>
      </c>
      <c r="AB114" s="97">
        <f>IF(C114=2006, AA114/3,AA114)+Z114</f>
        <v>15</v>
      </c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s="3" customFormat="1" x14ac:dyDescent="0.25">
      <c r="A115" s="11" t="s">
        <v>668</v>
      </c>
      <c r="B115" s="11" t="s">
        <v>64</v>
      </c>
      <c r="C115" s="3">
        <v>2007</v>
      </c>
      <c r="D115" s="1">
        <f>Q115+G115+F115+E115</f>
        <v>162</v>
      </c>
      <c r="E115" s="177"/>
      <c r="F115" s="50">
        <f>6</f>
        <v>6</v>
      </c>
      <c r="G115" s="50">
        <f>15</f>
        <v>15</v>
      </c>
      <c r="H115" s="120"/>
      <c r="I115" s="22"/>
      <c r="J115" s="50"/>
      <c r="K115" s="50"/>
      <c r="L115" s="50">
        <f>141</f>
        <v>141</v>
      </c>
      <c r="M115" s="50"/>
      <c r="N115" s="50"/>
      <c r="O115" s="120"/>
      <c r="P115" s="96">
        <f>SUM(J115:N115)</f>
        <v>141</v>
      </c>
      <c r="Q115" s="97">
        <f>IF(C115=2011, P115/3,P115)+O115</f>
        <v>141</v>
      </c>
      <c r="R115" s="22"/>
      <c r="S115" s="182"/>
      <c r="T115" s="182"/>
      <c r="U115" s="182"/>
      <c r="V115" s="182"/>
      <c r="W115" s="182"/>
      <c r="X115" s="182"/>
      <c r="Y115" s="36"/>
      <c r="Z115" s="95"/>
      <c r="AA115" s="96"/>
      <c r="AB115" s="97"/>
    </row>
    <row r="116" spans="1:47" s="3" customFormat="1" x14ac:dyDescent="0.25">
      <c r="A116" s="60" t="s">
        <v>512</v>
      </c>
      <c r="B116" s="85" t="s">
        <v>63</v>
      </c>
      <c r="C116" s="62">
        <v>2006</v>
      </c>
      <c r="D116" s="1">
        <f>Q116+G116+F116+E116</f>
        <v>128.33333333333331</v>
      </c>
      <c r="E116" s="177">
        <f>9</f>
        <v>9</v>
      </c>
      <c r="F116" s="50">
        <f>9</f>
        <v>9</v>
      </c>
      <c r="G116" s="50"/>
      <c r="H116" s="120"/>
      <c r="I116" s="22"/>
      <c r="J116" s="50"/>
      <c r="K116" s="50"/>
      <c r="L116" s="50">
        <f>6</f>
        <v>6</v>
      </c>
      <c r="M116" s="50">
        <f>9+3+3</f>
        <v>15</v>
      </c>
      <c r="N116" s="50">
        <f>AB116</f>
        <v>89.333333333333329</v>
      </c>
      <c r="O116" s="120"/>
      <c r="P116" s="96">
        <f>SUM(J116:N116)</f>
        <v>110.33333333333333</v>
      </c>
      <c r="Q116" s="97">
        <f>IF(C116=2007, P116/3,P116)+O116</f>
        <v>110.33333333333333</v>
      </c>
      <c r="R116" s="22"/>
      <c r="S116" s="13"/>
      <c r="T116" s="13"/>
      <c r="U116" s="13"/>
      <c r="V116" s="13"/>
      <c r="W116" s="13"/>
      <c r="X116" s="13">
        <f>14</f>
        <v>14</v>
      </c>
      <c r="Y116" s="13">
        <f>227</f>
        <v>227</v>
      </c>
      <c r="Z116" s="95">
        <f>3+6</f>
        <v>9</v>
      </c>
      <c r="AA116" s="96">
        <f>SUM(S116:Y116)</f>
        <v>241</v>
      </c>
      <c r="AB116" s="97">
        <f>IF(C116=2006, AA116/3,AA116)+Z116</f>
        <v>89.333333333333329</v>
      </c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</row>
    <row r="117" spans="1:47" s="3" customFormat="1" x14ac:dyDescent="0.25">
      <c r="A117" s="60" t="s">
        <v>199</v>
      </c>
      <c r="B117" s="65" t="s">
        <v>88</v>
      </c>
      <c r="C117" s="62">
        <v>2006</v>
      </c>
      <c r="D117" s="1">
        <f>Q117+G117+F117+E117</f>
        <v>1</v>
      </c>
      <c r="E117" s="177"/>
      <c r="F117" s="50"/>
      <c r="G117" s="50"/>
      <c r="H117" s="120"/>
      <c r="I117" s="22"/>
      <c r="J117" s="50"/>
      <c r="K117" s="50"/>
      <c r="L117" s="50"/>
      <c r="M117" s="50"/>
      <c r="N117" s="50">
        <f>AB117</f>
        <v>1</v>
      </c>
      <c r="O117" s="120"/>
      <c r="P117" s="96">
        <f>SUM(J117:N117)</f>
        <v>1</v>
      </c>
      <c r="Q117" s="97">
        <f>IF(C117=2007, P117/3,P117)+O117</f>
        <v>1</v>
      </c>
      <c r="R117" s="22"/>
      <c r="S117" s="13"/>
      <c r="T117" s="13">
        <f>3</f>
        <v>3</v>
      </c>
      <c r="U117" s="13"/>
      <c r="V117" s="13"/>
      <c r="W117" s="13"/>
      <c r="X117" s="13"/>
      <c r="Y117" s="13"/>
      <c r="Z117" s="95"/>
      <c r="AA117" s="96">
        <f>SUM(S117:Y117)</f>
        <v>3</v>
      </c>
      <c r="AB117" s="97">
        <f>IF(C117=2006, AA117/3,AA117)+Z117</f>
        <v>1</v>
      </c>
    </row>
    <row r="118" spans="1:47" x14ac:dyDescent="0.25">
      <c r="A118" s="60" t="s">
        <v>186</v>
      </c>
      <c r="B118" s="85" t="s">
        <v>64</v>
      </c>
      <c r="C118" s="62">
        <v>2007</v>
      </c>
      <c r="D118" s="1">
        <f>Q118+G118+F118+E118</f>
        <v>32</v>
      </c>
      <c r="E118" s="177"/>
      <c r="F118" s="50"/>
      <c r="G118" s="50"/>
      <c r="H118" s="120"/>
      <c r="I118" s="22"/>
      <c r="J118" s="50"/>
      <c r="K118" s="50"/>
      <c r="L118" s="50">
        <f>30</f>
        <v>30</v>
      </c>
      <c r="M118" s="50"/>
      <c r="N118" s="50">
        <f>AB118</f>
        <v>66</v>
      </c>
      <c r="O118" s="120"/>
      <c r="P118" s="96">
        <f>SUM(J118:N118)</f>
        <v>96</v>
      </c>
      <c r="Q118" s="97">
        <f>IF(C118=2007, P118/3,P118)+O118</f>
        <v>32</v>
      </c>
      <c r="R118" s="22"/>
      <c r="S118" s="13"/>
      <c r="T118" s="13">
        <v>54</v>
      </c>
      <c r="U118" s="13"/>
      <c r="V118" s="13"/>
      <c r="W118" s="13"/>
      <c r="X118" s="13"/>
      <c r="Y118" s="13">
        <f>12</f>
        <v>12</v>
      </c>
      <c r="Z118" s="95"/>
      <c r="AA118" s="96">
        <f>SUM(S118:Y118)</f>
        <v>66</v>
      </c>
      <c r="AB118" s="97">
        <f>IF(C118=2010, AA118/3,AA118)+Z118</f>
        <v>66</v>
      </c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1:47" x14ac:dyDescent="0.25">
      <c r="A119" s="60" t="s">
        <v>391</v>
      </c>
      <c r="B119" s="65" t="s">
        <v>112</v>
      </c>
      <c r="C119" s="62">
        <v>2005</v>
      </c>
      <c r="D119" s="1">
        <f>Q119+G119+F119+E119</f>
        <v>1</v>
      </c>
      <c r="E119" s="177"/>
      <c r="F119" s="50"/>
      <c r="G119" s="50"/>
      <c r="H119" s="120"/>
      <c r="I119" s="22"/>
      <c r="J119" s="50"/>
      <c r="K119" s="50"/>
      <c r="L119" s="50"/>
      <c r="M119" s="50"/>
      <c r="N119" s="50">
        <f>AB119</f>
        <v>1</v>
      </c>
      <c r="O119" s="120"/>
      <c r="P119" s="96">
        <f>SUM(J119:N119)</f>
        <v>1</v>
      </c>
      <c r="Q119" s="97">
        <f>IF(C119=2007, P119/3,P119)+O119</f>
        <v>1</v>
      </c>
      <c r="R119" s="22"/>
      <c r="V119" s="26">
        <f>1</f>
        <v>1</v>
      </c>
      <c r="Z119" s="95"/>
      <c r="AA119" s="96">
        <f>SUM(S119:Y119)</f>
        <v>1</v>
      </c>
      <c r="AB119" s="97">
        <f>IF(C119=2006, AA119/3,AA119)+Z119</f>
        <v>1</v>
      </c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</row>
    <row r="120" spans="1:47" x14ac:dyDescent="0.25">
      <c r="A120" s="12" t="s">
        <v>394</v>
      </c>
      <c r="B120" s="12" t="s">
        <v>383</v>
      </c>
      <c r="C120" s="4">
        <v>2005</v>
      </c>
      <c r="D120" s="1">
        <f>Q120+G120+F120+E120</f>
        <v>0</v>
      </c>
      <c r="E120" s="177"/>
      <c r="F120" s="50"/>
      <c r="G120" s="50"/>
      <c r="H120" s="120"/>
      <c r="I120" s="22"/>
      <c r="J120" s="50"/>
      <c r="K120" s="50"/>
      <c r="L120" s="50"/>
      <c r="M120" s="50"/>
      <c r="N120" s="50">
        <f>AB120</f>
        <v>0</v>
      </c>
      <c r="O120" s="120"/>
      <c r="P120" s="96">
        <f>SUM(J120:N120)</f>
        <v>0</v>
      </c>
      <c r="Q120" s="97">
        <f>IF(C120=2007, P120/3,P120)+O120</f>
        <v>0</v>
      </c>
      <c r="R120" s="22"/>
      <c r="V120" s="26">
        <f>0</f>
        <v>0</v>
      </c>
      <c r="Z120" s="95"/>
      <c r="AA120" s="96">
        <f>SUM(S120:Y120)</f>
        <v>0</v>
      </c>
      <c r="AB120" s="97">
        <f>IF(C120=2006, AA120/3,AA120)+Z120</f>
        <v>0</v>
      </c>
    </row>
    <row r="121" spans="1:47" x14ac:dyDescent="0.25">
      <c r="A121" s="51" t="s">
        <v>20</v>
      </c>
      <c r="B121" s="84" t="s">
        <v>7</v>
      </c>
      <c r="C121" s="52">
        <v>2006</v>
      </c>
      <c r="D121" s="1">
        <f>Q121+G121+F121+E121</f>
        <v>87.666666666666671</v>
      </c>
      <c r="E121" s="177"/>
      <c r="F121" s="50"/>
      <c r="G121" s="50"/>
      <c r="H121" s="120"/>
      <c r="I121" s="22"/>
      <c r="J121" s="50"/>
      <c r="K121" s="50"/>
      <c r="L121" s="50"/>
      <c r="M121" s="50"/>
      <c r="N121" s="50">
        <f>AB121</f>
        <v>87.666666666666671</v>
      </c>
      <c r="O121" s="120"/>
      <c r="P121" s="96">
        <f>SUM(J121:N121)</f>
        <v>87.666666666666671</v>
      </c>
      <c r="Q121" s="97">
        <f>IF(C121=2007, P121/3,P121)+O121</f>
        <v>87.666666666666671</v>
      </c>
      <c r="R121" s="22"/>
      <c r="S121" s="182">
        <f>3</f>
        <v>3</v>
      </c>
      <c r="T121" s="182"/>
      <c r="U121" s="182"/>
      <c r="V121" s="182">
        <f>0</f>
        <v>0</v>
      </c>
      <c r="W121" s="182"/>
      <c r="X121" s="182"/>
      <c r="Y121" s="182">
        <v>260</v>
      </c>
      <c r="Z121" s="95"/>
      <c r="AA121" s="96">
        <f>SUM(S121:Y121)</f>
        <v>263</v>
      </c>
      <c r="AB121" s="97">
        <f>IF(C121=2006, AA121/3,AA121)+Z121</f>
        <v>87.666666666666671</v>
      </c>
    </row>
    <row r="122" spans="1:47" s="3" customFormat="1" x14ac:dyDescent="0.25">
      <c r="A122" s="60" t="s">
        <v>200</v>
      </c>
      <c r="B122" s="65" t="s">
        <v>88</v>
      </c>
      <c r="C122" s="62">
        <v>2007</v>
      </c>
      <c r="D122" s="1">
        <f>Q122+G122+F122+E122</f>
        <v>4</v>
      </c>
      <c r="E122" s="177"/>
      <c r="F122" s="50"/>
      <c r="G122" s="50"/>
      <c r="H122" s="120"/>
      <c r="I122" s="22"/>
      <c r="J122" s="50"/>
      <c r="K122" s="50"/>
      <c r="L122" s="50"/>
      <c r="M122" s="50"/>
      <c r="N122" s="50">
        <f>AB122</f>
        <v>12</v>
      </c>
      <c r="O122" s="120"/>
      <c r="P122" s="96">
        <f>SUM(J122:N122)</f>
        <v>12</v>
      </c>
      <c r="Q122" s="97">
        <f>IF(C122=2007, P122/3,P122)+O122</f>
        <v>4</v>
      </c>
      <c r="R122" s="22"/>
      <c r="S122" s="13"/>
      <c r="T122" s="13">
        <f>12</f>
        <v>12</v>
      </c>
      <c r="U122" s="13"/>
      <c r="V122" s="13"/>
      <c r="W122" s="13"/>
      <c r="X122" s="13"/>
      <c r="Y122" s="13"/>
      <c r="Z122" s="95"/>
      <c r="AA122" s="96">
        <f>SUM(S122:Y122)</f>
        <v>12</v>
      </c>
      <c r="AB122" s="97">
        <f>IF(C122=2010, AA122/3,AA122)+Z122</f>
        <v>12</v>
      </c>
    </row>
    <row r="123" spans="1:47" s="17" customFormat="1" x14ac:dyDescent="0.25">
      <c r="A123" s="12" t="s">
        <v>378</v>
      </c>
      <c r="B123" s="12" t="s">
        <v>87</v>
      </c>
      <c r="C123" s="4">
        <v>2005</v>
      </c>
      <c r="D123" s="1">
        <f>Q123+G123+F123+E123</f>
        <v>0</v>
      </c>
      <c r="E123" s="177"/>
      <c r="F123" s="50"/>
      <c r="G123" s="50"/>
      <c r="H123" s="120"/>
      <c r="I123" s="22"/>
      <c r="J123" s="50"/>
      <c r="K123" s="50"/>
      <c r="L123" s="50"/>
      <c r="M123" s="50"/>
      <c r="N123" s="50">
        <f>AB123</f>
        <v>0</v>
      </c>
      <c r="O123" s="120"/>
      <c r="P123" s="96">
        <f>SUM(J123:N123)</f>
        <v>0</v>
      </c>
      <c r="Q123" s="97">
        <f>IF(C123=2007, P123/3,P123)+O123</f>
        <v>0</v>
      </c>
      <c r="R123" s="22"/>
      <c r="S123" s="26"/>
      <c r="T123" s="26"/>
      <c r="U123" s="26"/>
      <c r="V123" s="26">
        <f>0</f>
        <v>0</v>
      </c>
      <c r="W123" s="26"/>
      <c r="X123" s="26"/>
      <c r="Y123" s="26"/>
      <c r="Z123" s="95"/>
      <c r="AA123" s="96">
        <f>SUM(S123:Y123)</f>
        <v>0</v>
      </c>
      <c r="AB123" s="97">
        <f>IF(C123=2006, AA123/3,AA123)+Z123</f>
        <v>0</v>
      </c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</row>
    <row r="124" spans="1:47" x14ac:dyDescent="0.25">
      <c r="A124" s="60" t="s">
        <v>288</v>
      </c>
      <c r="B124" s="65" t="s">
        <v>233</v>
      </c>
      <c r="C124" s="62">
        <v>2006</v>
      </c>
      <c r="D124" s="1">
        <f>Q124+G124+F124+E124</f>
        <v>11.333333333333334</v>
      </c>
      <c r="E124" s="177"/>
      <c r="F124" s="50"/>
      <c r="G124" s="50"/>
      <c r="H124" s="120"/>
      <c r="I124" s="22"/>
      <c r="J124" s="50"/>
      <c r="K124" s="50">
        <f>3</f>
        <v>3</v>
      </c>
      <c r="L124" s="50"/>
      <c r="M124" s="50"/>
      <c r="N124" s="50">
        <f>AB124</f>
        <v>8.3333333333333339</v>
      </c>
      <c r="O124" s="120"/>
      <c r="P124" s="96">
        <f>SUM(J124:N124)</f>
        <v>11.333333333333334</v>
      </c>
      <c r="Q124" s="97">
        <f>IF(C124=2007, P124/3,P124)+O124</f>
        <v>11.333333333333334</v>
      </c>
      <c r="R124" s="22"/>
      <c r="S124" s="13"/>
      <c r="T124" s="13"/>
      <c r="U124" s="13">
        <f>3</f>
        <v>3</v>
      </c>
      <c r="V124" s="13">
        <f>22</f>
        <v>22</v>
      </c>
      <c r="W124" s="13"/>
      <c r="X124" s="13"/>
      <c r="Y124" s="13"/>
      <c r="Z124" s="95"/>
      <c r="AA124" s="96">
        <f>SUM(S124:Y124)</f>
        <v>25</v>
      </c>
      <c r="AB124" s="97">
        <f>IF(C124=2006, AA124/3,AA124)+Z124</f>
        <v>8.3333333333333339</v>
      </c>
    </row>
    <row r="125" spans="1:47" s="27" customFormat="1" x14ac:dyDescent="0.25">
      <c r="A125" s="224" t="s">
        <v>15</v>
      </c>
      <c r="B125" s="225"/>
      <c r="C125" s="226"/>
      <c r="D125" s="22"/>
      <c r="E125" s="177"/>
      <c r="F125" s="50"/>
      <c r="G125" s="50"/>
      <c r="H125" s="50"/>
      <c r="I125" s="22"/>
      <c r="J125" s="50"/>
      <c r="K125" s="50"/>
      <c r="L125" s="50"/>
      <c r="M125" s="50"/>
      <c r="N125" s="50"/>
      <c r="O125" s="50"/>
      <c r="P125" s="68"/>
      <c r="Q125" s="97">
        <f t="shared" ref="Q78:Q129" si="6">IF(C125=2007, P125/3,P125)+O125</f>
        <v>0</v>
      </c>
      <c r="R125" s="22"/>
      <c r="S125" s="113"/>
      <c r="T125" s="113"/>
      <c r="U125" s="113"/>
      <c r="V125" s="113"/>
      <c r="W125" s="113"/>
      <c r="X125" s="113"/>
      <c r="Y125" s="113"/>
      <c r="Z125" s="68"/>
      <c r="AA125" s="68"/>
      <c r="AB125" s="68"/>
    </row>
    <row r="126" spans="1:47" s="27" customFormat="1" x14ac:dyDescent="0.25">
      <c r="A126" s="60" t="s">
        <v>869</v>
      </c>
      <c r="B126" s="168" t="s">
        <v>637</v>
      </c>
      <c r="C126" s="169">
        <v>2007</v>
      </c>
      <c r="D126" s="1">
        <f t="shared" ref="D71:D134" si="7">Q126+G126+F126+E126</f>
        <v>1</v>
      </c>
      <c r="E126" s="177"/>
      <c r="F126" s="50">
        <f>1</f>
        <v>1</v>
      </c>
      <c r="G126" s="50"/>
      <c r="H126" s="50"/>
      <c r="I126" s="22"/>
      <c r="J126" s="50"/>
      <c r="K126" s="50"/>
      <c r="L126" s="50"/>
      <c r="M126" s="50"/>
      <c r="N126" s="50"/>
      <c r="O126" s="50"/>
      <c r="P126" s="68"/>
      <c r="Q126" s="97"/>
      <c r="R126" s="22"/>
      <c r="S126" s="167"/>
      <c r="T126" s="167"/>
      <c r="U126" s="167"/>
      <c r="V126" s="167"/>
      <c r="W126" s="167"/>
      <c r="X126" s="167"/>
      <c r="Y126" s="167"/>
      <c r="Z126" s="68"/>
      <c r="AA126" s="68"/>
      <c r="AB126" s="68"/>
    </row>
    <row r="127" spans="1:47" s="17" customFormat="1" x14ac:dyDescent="0.25">
      <c r="A127" s="60" t="s">
        <v>870</v>
      </c>
      <c r="B127" s="65" t="s">
        <v>63</v>
      </c>
      <c r="C127" s="62">
        <v>2007</v>
      </c>
      <c r="D127" s="1">
        <f t="shared" si="7"/>
        <v>0</v>
      </c>
      <c r="E127" s="177"/>
      <c r="F127" s="50">
        <v>0</v>
      </c>
      <c r="G127" s="50"/>
      <c r="H127" s="120"/>
      <c r="I127" s="22"/>
      <c r="J127" s="50"/>
      <c r="K127" s="50"/>
      <c r="L127" s="50"/>
      <c r="M127" s="50"/>
      <c r="N127" s="50"/>
      <c r="O127" s="120"/>
      <c r="P127" s="96"/>
      <c r="Q127" s="97"/>
      <c r="R127" s="22"/>
      <c r="S127" s="13"/>
      <c r="T127" s="13"/>
      <c r="U127" s="13"/>
      <c r="V127" s="13"/>
      <c r="W127" s="13"/>
      <c r="X127" s="13"/>
      <c r="Y127" s="13"/>
      <c r="Z127" s="95"/>
      <c r="AA127" s="96"/>
      <c r="AB127" s="97"/>
    </row>
    <row r="128" spans="1:47" s="27" customFormat="1" x14ac:dyDescent="0.25">
      <c r="A128" s="60" t="s">
        <v>763</v>
      </c>
      <c r="B128" s="65" t="s">
        <v>233</v>
      </c>
      <c r="C128" s="62">
        <v>2006</v>
      </c>
      <c r="D128" s="1">
        <f t="shared" si="7"/>
        <v>4</v>
      </c>
      <c r="E128" s="177"/>
      <c r="F128" s="50"/>
      <c r="G128" s="50">
        <f>4</f>
        <v>4</v>
      </c>
      <c r="H128" s="120"/>
      <c r="I128" s="22"/>
      <c r="J128" s="50">
        <f>0</f>
        <v>0</v>
      </c>
      <c r="K128" s="50"/>
      <c r="L128" s="50"/>
      <c r="M128" s="50"/>
      <c r="N128" s="50"/>
      <c r="O128" s="120"/>
      <c r="P128" s="96">
        <f t="shared" ref="P128" si="8">SUM(J128:N128)</f>
        <v>0</v>
      </c>
      <c r="Q128" s="97">
        <f t="shared" si="6"/>
        <v>0</v>
      </c>
      <c r="R128" s="22"/>
      <c r="S128" s="140"/>
      <c r="T128" s="140"/>
      <c r="U128" s="140"/>
      <c r="V128" s="140"/>
      <c r="W128" s="140"/>
      <c r="X128" s="140"/>
      <c r="Y128" s="140"/>
      <c r="Z128" s="95"/>
      <c r="AA128" s="96"/>
      <c r="AB128" s="97"/>
    </row>
    <row r="129" spans="1:28" s="3" customFormat="1" x14ac:dyDescent="0.25">
      <c r="A129" s="60" t="s">
        <v>749</v>
      </c>
      <c r="B129" s="65" t="s">
        <v>63</v>
      </c>
      <c r="C129" s="62">
        <v>2007</v>
      </c>
      <c r="D129" s="1">
        <f t="shared" si="7"/>
        <v>6.333333333333333</v>
      </c>
      <c r="E129" s="177"/>
      <c r="F129" s="50"/>
      <c r="G129" s="50"/>
      <c r="H129" s="120"/>
      <c r="I129" s="22"/>
      <c r="J129" s="50">
        <f>13+6</f>
        <v>19</v>
      </c>
      <c r="K129" s="50"/>
      <c r="L129" s="50"/>
      <c r="M129" s="50"/>
      <c r="N129" s="50"/>
      <c r="O129" s="120"/>
      <c r="P129" s="96">
        <f>SUM(J129:N129)</f>
        <v>19</v>
      </c>
      <c r="Q129" s="97">
        <f t="shared" si="6"/>
        <v>6.333333333333333</v>
      </c>
      <c r="R129" s="22"/>
      <c r="S129" s="13"/>
      <c r="T129" s="13"/>
      <c r="U129" s="13"/>
      <c r="V129" s="13"/>
      <c r="W129" s="13"/>
      <c r="X129" s="13"/>
      <c r="Y129" s="13"/>
      <c r="Z129" s="95"/>
      <c r="AA129" s="96"/>
      <c r="AB129" s="97"/>
    </row>
    <row r="130" spans="1:28" s="3" customFormat="1" x14ac:dyDescent="0.25">
      <c r="A130" s="60" t="s">
        <v>871</v>
      </c>
      <c r="B130" s="65" t="s">
        <v>87</v>
      </c>
      <c r="C130" s="62">
        <v>2007</v>
      </c>
      <c r="D130" s="1">
        <f t="shared" si="7"/>
        <v>21</v>
      </c>
      <c r="E130" s="177"/>
      <c r="F130" s="50">
        <f>15+6</f>
        <v>21</v>
      </c>
      <c r="G130" s="50"/>
      <c r="H130" s="120"/>
      <c r="I130" s="22"/>
      <c r="J130" s="50"/>
      <c r="K130" s="50"/>
      <c r="L130" s="50"/>
      <c r="M130" s="50"/>
      <c r="N130" s="50"/>
      <c r="O130" s="120"/>
      <c r="P130" s="96"/>
      <c r="Q130" s="97"/>
      <c r="R130" s="22"/>
      <c r="S130" s="13"/>
      <c r="T130" s="13"/>
      <c r="U130" s="13"/>
      <c r="V130" s="13"/>
      <c r="W130" s="13"/>
      <c r="X130" s="13"/>
      <c r="Y130" s="13"/>
      <c r="Z130" s="95"/>
      <c r="AA130" s="96"/>
      <c r="AB130" s="97"/>
    </row>
    <row r="131" spans="1:28" s="3" customFormat="1" x14ac:dyDescent="0.25">
      <c r="A131" s="11" t="s">
        <v>804</v>
      </c>
      <c r="B131" s="60" t="s">
        <v>64</v>
      </c>
      <c r="C131" s="62">
        <v>2007</v>
      </c>
      <c r="D131" s="1">
        <f t="shared" si="7"/>
        <v>21</v>
      </c>
      <c r="E131" s="177"/>
      <c r="F131" s="50">
        <f>3</f>
        <v>3</v>
      </c>
      <c r="G131" s="50">
        <f>12+6</f>
        <v>18</v>
      </c>
      <c r="H131" s="120"/>
      <c r="I131" s="22"/>
      <c r="J131" s="50"/>
      <c r="K131" s="50"/>
      <c r="L131" s="50"/>
      <c r="M131" s="50"/>
      <c r="N131" s="50"/>
      <c r="O131" s="120"/>
      <c r="P131" s="96"/>
      <c r="Q131" s="97"/>
      <c r="R131" s="22"/>
      <c r="S131" s="41"/>
      <c r="T131" s="41"/>
      <c r="U131" s="41"/>
      <c r="V131" s="41"/>
      <c r="W131" s="41"/>
      <c r="X131" s="41"/>
      <c r="Y131" s="13"/>
      <c r="Z131" s="95"/>
      <c r="AA131" s="96"/>
      <c r="AB131" s="97"/>
    </row>
    <row r="132" spans="1:28" s="3" customFormat="1" x14ac:dyDescent="0.25">
      <c r="A132" s="11" t="s">
        <v>809</v>
      </c>
      <c r="B132" s="60" t="s">
        <v>64</v>
      </c>
      <c r="C132" s="62">
        <v>2007</v>
      </c>
      <c r="D132" s="1">
        <f t="shared" si="7"/>
        <v>9</v>
      </c>
      <c r="E132" s="177"/>
      <c r="F132" s="50">
        <f>0+3</f>
        <v>3</v>
      </c>
      <c r="G132" s="50">
        <f>0+6</f>
        <v>6</v>
      </c>
      <c r="H132" s="120"/>
      <c r="I132" s="22"/>
      <c r="J132" s="50"/>
      <c r="K132" s="50"/>
      <c r="L132" s="50"/>
      <c r="M132" s="50"/>
      <c r="N132" s="50"/>
      <c r="O132" s="120"/>
      <c r="P132" s="96"/>
      <c r="Q132" s="97"/>
      <c r="R132" s="22"/>
      <c r="S132" s="41"/>
      <c r="T132" s="41"/>
      <c r="U132" s="41"/>
      <c r="V132" s="41"/>
      <c r="W132" s="41"/>
      <c r="X132" s="41"/>
      <c r="Y132" s="13"/>
      <c r="Z132" s="95"/>
      <c r="AA132" s="96"/>
      <c r="AB132" s="97"/>
    </row>
    <row r="133" spans="1:28" s="3" customFormat="1" x14ac:dyDescent="0.25">
      <c r="A133" s="11" t="s">
        <v>805</v>
      </c>
      <c r="B133" s="60" t="s">
        <v>64</v>
      </c>
      <c r="C133" s="62">
        <v>2006</v>
      </c>
      <c r="D133" s="1">
        <f t="shared" si="7"/>
        <v>18</v>
      </c>
      <c r="E133" s="177"/>
      <c r="F133" s="50">
        <f>0+3</f>
        <v>3</v>
      </c>
      <c r="G133" s="50">
        <f>9+6</f>
        <v>15</v>
      </c>
      <c r="H133" s="120"/>
      <c r="I133" s="22"/>
      <c r="J133" s="50"/>
      <c r="K133" s="50"/>
      <c r="L133" s="50"/>
      <c r="M133" s="50"/>
      <c r="N133" s="50"/>
      <c r="O133" s="120"/>
      <c r="P133" s="96"/>
      <c r="Q133" s="97"/>
      <c r="R133" s="22"/>
      <c r="S133" s="41"/>
      <c r="T133" s="41"/>
      <c r="U133" s="41"/>
      <c r="V133" s="41"/>
      <c r="W133" s="41"/>
      <c r="X133" s="41"/>
      <c r="Y133" s="13"/>
      <c r="Z133" s="95"/>
      <c r="AA133" s="96"/>
      <c r="AB133" s="97"/>
    </row>
    <row r="134" spans="1:28" x14ac:dyDescent="0.25">
      <c r="A134" s="60" t="s">
        <v>807</v>
      </c>
      <c r="B134" s="65" t="s">
        <v>808</v>
      </c>
      <c r="C134" s="62">
        <v>2006</v>
      </c>
      <c r="D134" s="1">
        <f t="shared" si="7"/>
        <v>6</v>
      </c>
      <c r="E134" s="177"/>
      <c r="F134" s="50"/>
      <c r="G134" s="50">
        <f>0+6</f>
        <v>6</v>
      </c>
      <c r="H134" s="120"/>
      <c r="I134" s="22"/>
      <c r="J134" s="50"/>
      <c r="K134" s="50"/>
      <c r="L134" s="50"/>
      <c r="M134" s="50"/>
      <c r="N134" s="50"/>
      <c r="O134" s="120"/>
      <c r="P134" s="96"/>
      <c r="Q134" s="97"/>
      <c r="R134" s="22"/>
      <c r="Z134" s="95"/>
      <c r="AA134" s="96"/>
      <c r="AB134" s="97"/>
    </row>
    <row r="135" spans="1:28" x14ac:dyDescent="0.25">
      <c r="A135" s="12" t="s">
        <v>806</v>
      </c>
      <c r="B135" s="12" t="s">
        <v>637</v>
      </c>
      <c r="C135" s="4">
        <v>2007</v>
      </c>
      <c r="D135" s="1">
        <f t="shared" ref="D135" si="9">Q135+G135+F135+E135</f>
        <v>8</v>
      </c>
      <c r="F135" s="165">
        <f>0+2</f>
        <v>2</v>
      </c>
      <c r="G135" s="165">
        <f>6</f>
        <v>6</v>
      </c>
    </row>
    <row r="136" spans="1:28" x14ac:dyDescent="0.25">
      <c r="A136" s="11"/>
      <c r="C136" s="3"/>
    </row>
  </sheetData>
  <autoFilter ref="B1:B136" xr:uid="{00000000-0001-0000-0500-000000000000}"/>
  <sortState xmlns:xlrd2="http://schemas.microsoft.com/office/spreadsheetml/2017/richdata2" ref="A19:AU124">
    <sortCondition ref="A124"/>
  </sortState>
  <mergeCells count="6">
    <mergeCell ref="A5:C5"/>
    <mergeCell ref="A18:C18"/>
    <mergeCell ref="A125:C125"/>
    <mergeCell ref="A1:C2"/>
    <mergeCell ref="S3:T3"/>
    <mergeCell ref="F3:G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19"/>
  <sheetViews>
    <sheetView zoomScaleNormal="100" workbookViewId="0">
      <pane xSplit="4" ySplit="4" topLeftCell="E5" activePane="bottomRight" state="frozen"/>
      <selection pane="topRight" activeCell="E1" sqref="E1"/>
      <selection pane="bottomLeft" activeCell="A3" sqref="A3"/>
      <selection pane="bottomRight" activeCell="F13" sqref="F13"/>
    </sheetView>
  </sheetViews>
  <sheetFormatPr defaultRowHeight="15" x14ac:dyDescent="0.25"/>
  <cols>
    <col min="1" max="1" width="19.7109375" style="11" bestFit="1" customWidth="1"/>
    <col min="2" max="2" width="20.28515625" style="3" bestFit="1" customWidth="1"/>
    <col min="3" max="3" width="8.140625" style="3" bestFit="1" customWidth="1"/>
    <col min="4" max="4" width="12" style="7" customWidth="1"/>
    <col min="5" max="7" width="13.28515625" style="13" customWidth="1"/>
    <col min="8" max="8" width="10.85546875" style="13" customWidth="1"/>
    <col min="9" max="9" width="3.42578125" style="13" customWidth="1"/>
    <col min="10" max="10" width="13.28515625" style="13" customWidth="1"/>
    <col min="11" max="15" width="10.85546875" style="13" customWidth="1"/>
    <col min="16" max="16" width="8.85546875" style="13" customWidth="1"/>
    <col min="17" max="17" width="8.42578125" style="13" customWidth="1"/>
    <col min="18" max="18" width="3.42578125" style="13" customWidth="1"/>
    <col min="19" max="19" width="8.85546875" style="13" customWidth="1"/>
    <col min="20" max="22" width="11.140625" style="13" customWidth="1"/>
    <col min="23" max="23" width="13.5703125" style="13" customWidth="1"/>
    <col min="24" max="24" width="11.140625" style="13" customWidth="1"/>
    <col min="25" max="25" width="8.85546875" style="13" customWidth="1"/>
    <col min="26" max="26" width="10.7109375" style="13" customWidth="1"/>
    <col min="27" max="27" width="8.85546875" style="13" customWidth="1"/>
    <col min="28" max="28" width="8.42578125" style="13" customWidth="1"/>
    <col min="29" max="29" width="12" style="3" customWidth="1"/>
    <col min="30" max="16384" width="9.140625" style="3"/>
  </cols>
  <sheetData>
    <row r="1" spans="1:28" ht="15" customHeight="1" x14ac:dyDescent="0.5">
      <c r="A1" s="192" t="s">
        <v>31</v>
      </c>
      <c r="B1" s="193"/>
      <c r="C1" s="193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5"/>
      <c r="Q1" s="30"/>
      <c r="R1" s="56"/>
      <c r="S1" s="56"/>
      <c r="T1" s="56"/>
      <c r="U1" s="56"/>
      <c r="V1" s="56"/>
      <c r="W1" s="56"/>
      <c r="X1" s="56"/>
      <c r="Y1" s="56"/>
      <c r="Z1" s="55"/>
      <c r="AA1" s="55"/>
      <c r="AB1" s="30"/>
    </row>
    <row r="2" spans="1:28" ht="15" customHeight="1" x14ac:dyDescent="0.5">
      <c r="A2" s="194"/>
      <c r="B2" s="195"/>
      <c r="C2" s="195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/>
      <c r="Q2" s="31"/>
      <c r="R2" s="56"/>
      <c r="S2" s="56"/>
      <c r="T2" s="56"/>
      <c r="U2" s="56"/>
      <c r="V2" s="56"/>
      <c r="W2" s="56"/>
      <c r="X2" s="56"/>
      <c r="Y2" s="56"/>
      <c r="Z2" s="55"/>
      <c r="AA2" s="55"/>
      <c r="AB2" s="31"/>
    </row>
    <row r="3" spans="1:28" s="5" customFormat="1" x14ac:dyDescent="0.25">
      <c r="A3" s="10"/>
      <c r="D3" s="14"/>
      <c r="E3" s="33"/>
      <c r="F3" s="33"/>
      <c r="G3" s="33"/>
      <c r="H3" s="33"/>
      <c r="I3" s="33"/>
      <c r="J3" s="33"/>
      <c r="K3" s="33"/>
      <c r="L3" s="33"/>
      <c r="M3" s="33">
        <v>2023</v>
      </c>
      <c r="N3" s="33"/>
      <c r="O3" s="33"/>
      <c r="P3" s="33"/>
      <c r="Q3" s="33"/>
      <c r="R3" s="33"/>
      <c r="S3" s="202">
        <v>2022</v>
      </c>
      <c r="T3" s="204"/>
      <c r="U3" s="75"/>
      <c r="V3" s="75"/>
      <c r="W3" s="75"/>
      <c r="X3" s="75"/>
      <c r="Y3" s="33"/>
      <c r="Z3" s="32"/>
      <c r="AA3" s="32"/>
      <c r="AB3" s="32"/>
    </row>
    <row r="4" spans="1:28" s="5" customFormat="1" ht="107.25" customHeight="1" x14ac:dyDescent="0.25">
      <c r="A4" s="5" t="s">
        <v>1</v>
      </c>
      <c r="B4" s="5" t="s">
        <v>2</v>
      </c>
      <c r="C4" s="5" t="s">
        <v>3</v>
      </c>
      <c r="D4" s="49" t="s">
        <v>886</v>
      </c>
      <c r="E4" s="184" t="s">
        <v>885</v>
      </c>
      <c r="F4" s="152" t="s">
        <v>293</v>
      </c>
      <c r="G4" s="152" t="s">
        <v>4</v>
      </c>
      <c r="H4" s="95" t="s">
        <v>5</v>
      </c>
      <c r="I4" s="145"/>
      <c r="J4" s="141" t="s">
        <v>395</v>
      </c>
      <c r="K4" s="105" t="s">
        <v>229</v>
      </c>
      <c r="L4" s="105" t="s">
        <v>293</v>
      </c>
      <c r="M4" s="105" t="s">
        <v>4</v>
      </c>
      <c r="N4" s="105" t="s">
        <v>549</v>
      </c>
      <c r="O4" s="95" t="s">
        <v>5</v>
      </c>
      <c r="P4" s="96" t="s">
        <v>546</v>
      </c>
      <c r="Q4" s="97" t="s">
        <v>547</v>
      </c>
      <c r="R4" s="42"/>
      <c r="S4" s="44" t="s">
        <v>4</v>
      </c>
      <c r="T4" s="59" t="s">
        <v>62</v>
      </c>
      <c r="U4" s="73" t="s">
        <v>229</v>
      </c>
      <c r="V4" s="79" t="s">
        <v>293</v>
      </c>
      <c r="W4" s="111" t="s">
        <v>395</v>
      </c>
      <c r="X4" s="93" t="s">
        <v>466</v>
      </c>
      <c r="Y4" s="33" t="s">
        <v>34</v>
      </c>
      <c r="Z4" s="95" t="s">
        <v>5</v>
      </c>
      <c r="AA4" s="96" t="s">
        <v>546</v>
      </c>
      <c r="AB4" s="97" t="s">
        <v>547</v>
      </c>
    </row>
    <row r="5" spans="1:28" x14ac:dyDescent="0.25">
      <c r="A5" s="207" t="s">
        <v>13</v>
      </c>
      <c r="B5" s="214"/>
      <c r="C5" s="215"/>
      <c r="D5" s="23"/>
      <c r="E5" s="175"/>
      <c r="F5" s="166"/>
      <c r="G5" s="146"/>
      <c r="H5" s="123"/>
      <c r="I5" s="146"/>
      <c r="J5" s="139"/>
      <c r="K5" s="133"/>
      <c r="L5" s="114"/>
      <c r="M5" s="112"/>
      <c r="N5" s="91"/>
      <c r="O5" s="123"/>
      <c r="P5" s="96"/>
      <c r="Q5" s="97"/>
      <c r="R5" s="91"/>
      <c r="S5" s="34"/>
      <c r="T5" s="37"/>
      <c r="U5" s="57"/>
      <c r="V5" s="69"/>
      <c r="W5" s="91"/>
      <c r="X5" s="88"/>
      <c r="Y5" s="34"/>
      <c r="Z5" s="95"/>
      <c r="AA5" s="96"/>
      <c r="AB5" s="97"/>
    </row>
    <row r="6" spans="1:28" x14ac:dyDescent="0.25">
      <c r="A6" s="51" t="s">
        <v>373</v>
      </c>
      <c r="B6" s="51" t="s">
        <v>0</v>
      </c>
      <c r="C6" s="52">
        <v>2007</v>
      </c>
      <c r="D6" s="2">
        <f>Q6+G6+F6+E6</f>
        <v>293</v>
      </c>
      <c r="E6" s="108">
        <f>0+3</f>
        <v>3</v>
      </c>
      <c r="F6" s="108">
        <f>0</f>
        <v>0</v>
      </c>
      <c r="G6" s="108">
        <f>0+3</f>
        <v>3</v>
      </c>
      <c r="H6" s="122"/>
      <c r="I6" s="146"/>
      <c r="J6" s="108">
        <f>3</f>
        <v>3</v>
      </c>
      <c r="K6" s="108">
        <f>0</f>
        <v>0</v>
      </c>
      <c r="L6" s="108">
        <f>9</f>
        <v>9</v>
      </c>
      <c r="M6" s="108"/>
      <c r="N6" s="108">
        <f>AB6</f>
        <v>275</v>
      </c>
      <c r="O6" s="122"/>
      <c r="P6" s="96">
        <f>SUM(J6:N6)</f>
        <v>287</v>
      </c>
      <c r="Q6" s="97">
        <f>IF(C6=2011, P6/3,P6)+O6</f>
        <v>287</v>
      </c>
      <c r="R6" s="91"/>
      <c r="S6" s="69"/>
      <c r="T6" s="69"/>
      <c r="U6" s="69"/>
      <c r="V6" s="50">
        <f>6</f>
        <v>6</v>
      </c>
      <c r="W6" s="50">
        <f>0+6</f>
        <v>6</v>
      </c>
      <c r="X6" s="50">
        <f>3+3</f>
        <v>6</v>
      </c>
      <c r="Y6" s="50">
        <f>257</f>
        <v>257</v>
      </c>
      <c r="Z6" s="95"/>
      <c r="AA6" s="96">
        <f>SUM(S6:Y6)</f>
        <v>275</v>
      </c>
      <c r="AB6" s="97">
        <f>IF(C6=2010, AA6/3,AA6)+Z6</f>
        <v>275</v>
      </c>
    </row>
    <row r="7" spans="1:28" x14ac:dyDescent="0.25">
      <c r="A7" s="60" t="s">
        <v>643</v>
      </c>
      <c r="B7" s="60" t="s">
        <v>6</v>
      </c>
      <c r="C7" s="131">
        <v>2004</v>
      </c>
      <c r="D7" s="2">
        <f t="shared" ref="D7:D18" si="0">Q7+G7+F7+E7</f>
        <v>917</v>
      </c>
      <c r="E7" s="175"/>
      <c r="F7" s="166"/>
      <c r="G7" s="146"/>
      <c r="H7" s="123"/>
      <c r="I7" s="146"/>
      <c r="J7" s="139"/>
      <c r="K7" s="133"/>
      <c r="L7" s="114">
        <f>9</f>
        <v>9</v>
      </c>
      <c r="M7" s="114"/>
      <c r="N7" s="108">
        <v>908</v>
      </c>
      <c r="O7" s="123"/>
      <c r="P7" s="96">
        <f>SUM(J7:N7)</f>
        <v>917</v>
      </c>
      <c r="Q7" s="97">
        <f>IF(C7=2007, P7/3,P7)+O7</f>
        <v>917</v>
      </c>
      <c r="R7" s="114"/>
      <c r="S7" s="114"/>
      <c r="T7" s="114"/>
      <c r="U7" s="114"/>
      <c r="V7" s="114"/>
      <c r="W7" s="114"/>
      <c r="X7" s="114"/>
      <c r="Y7" s="114"/>
      <c r="Z7" s="95"/>
      <c r="AA7" s="96"/>
      <c r="AB7" s="97"/>
    </row>
    <row r="8" spans="1:28" s="17" customFormat="1" x14ac:dyDescent="0.25">
      <c r="A8" s="199" t="s">
        <v>14</v>
      </c>
      <c r="B8" s="200"/>
      <c r="C8" s="201"/>
      <c r="D8" s="181"/>
      <c r="E8" s="175"/>
      <c r="F8" s="166"/>
      <c r="G8" s="146"/>
      <c r="H8" s="151"/>
      <c r="I8" s="146"/>
      <c r="J8" s="139"/>
      <c r="K8" s="133"/>
      <c r="L8" s="114"/>
      <c r="M8" s="112"/>
      <c r="N8" s="91"/>
      <c r="O8" s="146"/>
      <c r="P8" s="68"/>
      <c r="Q8" s="68"/>
      <c r="R8" s="91"/>
      <c r="S8" s="34"/>
      <c r="T8" s="37"/>
      <c r="U8" s="57"/>
      <c r="V8" s="69"/>
      <c r="W8" s="91"/>
      <c r="X8" s="88"/>
      <c r="Y8" s="34"/>
      <c r="Z8" s="95"/>
      <c r="AA8" s="96"/>
      <c r="AB8" s="97">
        <f t="shared" ref="AB8" si="1">IF(C8=2010, AA8/3,AA8)+Z8</f>
        <v>0</v>
      </c>
    </row>
    <row r="9" spans="1:28" s="17" customFormat="1" x14ac:dyDescent="0.25">
      <c r="A9" s="60" t="s">
        <v>376</v>
      </c>
      <c r="B9" s="65" t="s">
        <v>377</v>
      </c>
      <c r="C9" s="62">
        <v>2005</v>
      </c>
      <c r="D9" s="2">
        <f t="shared" si="0"/>
        <v>41</v>
      </c>
      <c r="E9" s="108"/>
      <c r="F9" s="108"/>
      <c r="G9" s="108"/>
      <c r="H9" s="122"/>
      <c r="I9" s="146"/>
      <c r="J9" s="108"/>
      <c r="K9" s="108"/>
      <c r="L9" s="108"/>
      <c r="M9" s="108"/>
      <c r="N9" s="108">
        <f>AB9</f>
        <v>41</v>
      </c>
      <c r="O9" s="122"/>
      <c r="P9" s="96">
        <f t="shared" ref="P9:P18" si="2">SUM(J9:N9)</f>
        <v>41</v>
      </c>
      <c r="Q9" s="97">
        <f>IF(C9=2007, P9/3,P9)+O9</f>
        <v>41</v>
      </c>
      <c r="R9" s="91"/>
      <c r="S9" s="69"/>
      <c r="T9" s="80"/>
      <c r="U9" s="80"/>
      <c r="V9" s="80">
        <f>4</f>
        <v>4</v>
      </c>
      <c r="W9" s="80"/>
      <c r="X9" s="80"/>
      <c r="Y9" s="80">
        <f>37</f>
        <v>37</v>
      </c>
      <c r="Z9" s="95"/>
      <c r="AA9" s="96">
        <f>SUM(S9:Y9)</f>
        <v>41</v>
      </c>
      <c r="AB9" s="97">
        <f>IF(C9=2006, AA9/3,AA9)+Z9</f>
        <v>41</v>
      </c>
    </row>
    <row r="10" spans="1:28" x14ac:dyDescent="0.25">
      <c r="A10" s="60" t="s">
        <v>209</v>
      </c>
      <c r="B10" s="65" t="s">
        <v>87</v>
      </c>
      <c r="C10" s="62">
        <v>2007</v>
      </c>
      <c r="D10" s="2">
        <f t="shared" si="0"/>
        <v>0</v>
      </c>
      <c r="E10" s="108"/>
      <c r="F10" s="108"/>
      <c r="G10" s="108"/>
      <c r="H10" s="122"/>
      <c r="J10" s="108"/>
      <c r="K10" s="108"/>
      <c r="L10" s="108"/>
      <c r="M10" s="108"/>
      <c r="N10" s="108">
        <f>AB10</f>
        <v>0</v>
      </c>
      <c r="O10" s="122"/>
      <c r="P10" s="96">
        <f>SUM(J10:N10)</f>
        <v>0</v>
      </c>
      <c r="Q10" s="97">
        <f>IF(C10=2011, P10/3,P10)+O10</f>
        <v>0</v>
      </c>
      <c r="T10" s="13">
        <v>0</v>
      </c>
      <c r="Z10" s="95"/>
      <c r="AA10" s="96">
        <f>SUM(S10:Y10)</f>
        <v>0</v>
      </c>
      <c r="AB10" s="97">
        <f>IF(C10=2010, AA10/3,AA10)+Z10</f>
        <v>0</v>
      </c>
    </row>
    <row r="11" spans="1:28" x14ac:dyDescent="0.25">
      <c r="A11" s="60" t="s">
        <v>207</v>
      </c>
      <c r="B11" s="65" t="s">
        <v>88</v>
      </c>
      <c r="C11" s="62">
        <v>2006</v>
      </c>
      <c r="D11" s="2">
        <f t="shared" si="0"/>
        <v>4</v>
      </c>
      <c r="E11" s="108"/>
      <c r="F11" s="108"/>
      <c r="G11" s="108"/>
      <c r="H11" s="122"/>
      <c r="I11" s="22"/>
      <c r="J11" s="108"/>
      <c r="K11" s="108"/>
      <c r="L11" s="108"/>
      <c r="M11" s="108"/>
      <c r="N11" s="108">
        <f>AB11</f>
        <v>4</v>
      </c>
      <c r="O11" s="122"/>
      <c r="P11" s="96">
        <f t="shared" si="2"/>
        <v>4</v>
      </c>
      <c r="Q11" s="97">
        <f>IF(C11=2007, P11/3,P11)+O11</f>
        <v>4</v>
      </c>
      <c r="R11" s="22"/>
      <c r="S11" s="108">
        <f>6</f>
        <v>6</v>
      </c>
      <c r="V11" s="13">
        <v>6</v>
      </c>
      <c r="Z11" s="95"/>
      <c r="AA11" s="96">
        <f>SUM(S11:Y11)</f>
        <v>12</v>
      </c>
      <c r="AB11" s="97">
        <f>IF(C11=2006, AA11/3,AA11)+Z11</f>
        <v>4</v>
      </c>
    </row>
    <row r="12" spans="1:28" x14ac:dyDescent="0.25">
      <c r="A12" s="126" t="s">
        <v>872</v>
      </c>
      <c r="B12" s="171" t="s">
        <v>6</v>
      </c>
      <c r="C12" s="172">
        <v>2006</v>
      </c>
      <c r="D12" s="2">
        <f t="shared" si="0"/>
        <v>208</v>
      </c>
      <c r="E12" s="108">
        <f>6</f>
        <v>6</v>
      </c>
      <c r="F12" s="108">
        <f>6+12+12</f>
        <v>30</v>
      </c>
      <c r="G12" s="166"/>
      <c r="H12" s="123"/>
      <c r="I12" s="166"/>
      <c r="J12" s="166"/>
      <c r="K12" s="166"/>
      <c r="L12" s="166"/>
      <c r="M12" s="166"/>
      <c r="N12" s="108"/>
      <c r="O12" s="123"/>
      <c r="P12" s="96">
        <v>172</v>
      </c>
      <c r="Q12" s="97">
        <f>IF(C12=2007, P12/3,P12)+O12</f>
        <v>172</v>
      </c>
      <c r="R12" s="166"/>
      <c r="S12" s="166"/>
      <c r="T12" s="166"/>
      <c r="U12" s="166"/>
      <c r="V12" s="166"/>
      <c r="W12" s="166"/>
      <c r="X12" s="166"/>
      <c r="Y12" s="166"/>
      <c r="Z12" s="95"/>
      <c r="AA12" s="96">
        <v>516</v>
      </c>
      <c r="AB12" s="97">
        <f>IF(C12=2006, AA12/3,AA12)+Z12</f>
        <v>172</v>
      </c>
    </row>
    <row r="13" spans="1:28" x14ac:dyDescent="0.25">
      <c r="A13" s="60" t="s">
        <v>644</v>
      </c>
      <c r="B13" s="60" t="s">
        <v>64</v>
      </c>
      <c r="C13" s="60"/>
      <c r="D13" s="2">
        <f t="shared" si="0"/>
        <v>84</v>
      </c>
      <c r="E13" s="175"/>
      <c r="F13" s="166"/>
      <c r="G13" s="146"/>
      <c r="H13" s="123"/>
      <c r="I13" s="146"/>
      <c r="J13" s="139"/>
      <c r="K13" s="133"/>
      <c r="L13" s="114">
        <f>3</f>
        <v>3</v>
      </c>
      <c r="M13" s="114"/>
      <c r="N13" s="108">
        <f>81</f>
        <v>81</v>
      </c>
      <c r="O13" s="123"/>
      <c r="P13" s="96">
        <f t="shared" si="2"/>
        <v>84</v>
      </c>
      <c r="Q13" s="97">
        <f>IF(C13=2007, P13/3,P13)+O13</f>
        <v>84</v>
      </c>
      <c r="R13" s="114"/>
      <c r="S13" s="114"/>
      <c r="T13" s="114"/>
      <c r="U13" s="114"/>
      <c r="V13" s="114"/>
      <c r="W13" s="114"/>
      <c r="X13" s="114"/>
      <c r="Y13" s="114"/>
      <c r="Z13" s="95"/>
      <c r="AA13" s="96"/>
      <c r="AB13" s="97"/>
    </row>
    <row r="14" spans="1:28" x14ac:dyDescent="0.25">
      <c r="A14" s="11" t="s">
        <v>393</v>
      </c>
      <c r="B14" s="11" t="s">
        <v>383</v>
      </c>
      <c r="C14" s="3">
        <v>2005</v>
      </c>
      <c r="D14" s="2">
        <f t="shared" si="0"/>
        <v>0</v>
      </c>
      <c r="E14" s="108"/>
      <c r="F14" s="108"/>
      <c r="G14" s="108"/>
      <c r="H14" s="122"/>
      <c r="J14" s="108"/>
      <c r="K14" s="108"/>
      <c r="L14" s="108"/>
      <c r="M14" s="108"/>
      <c r="N14" s="108">
        <f>AB14</f>
        <v>0</v>
      </c>
      <c r="O14" s="122"/>
      <c r="P14" s="96">
        <f t="shared" si="2"/>
        <v>0</v>
      </c>
      <c r="Q14" s="97">
        <f>IF(C14=2007, P14/3,P14)+O14</f>
        <v>0</v>
      </c>
      <c r="V14" s="13">
        <f>0</f>
        <v>0</v>
      </c>
      <c r="Z14" s="95"/>
      <c r="AA14" s="96">
        <f>SUM(S14:Y14)</f>
        <v>0</v>
      </c>
      <c r="AB14" s="97">
        <f>IF(C14=2006, AA14/3,AA14)+Z14</f>
        <v>0</v>
      </c>
    </row>
    <row r="15" spans="1:28" x14ac:dyDescent="0.25">
      <c r="A15" s="60" t="s">
        <v>208</v>
      </c>
      <c r="B15" s="65" t="s">
        <v>88</v>
      </c>
      <c r="C15" s="62">
        <v>2007</v>
      </c>
      <c r="D15" s="2">
        <f t="shared" si="0"/>
        <v>18</v>
      </c>
      <c r="E15" s="108"/>
      <c r="F15" s="108"/>
      <c r="G15" s="108"/>
      <c r="H15" s="122"/>
      <c r="J15" s="108"/>
      <c r="K15" s="108"/>
      <c r="L15" s="108"/>
      <c r="M15" s="108"/>
      <c r="N15" s="108">
        <f>AB15</f>
        <v>18</v>
      </c>
      <c r="O15" s="122"/>
      <c r="P15" s="96">
        <f>SUM(J15:N15)</f>
        <v>18</v>
      </c>
      <c r="Q15" s="97">
        <f>IF(C15=2011, P15/3,P15)+O15</f>
        <v>18</v>
      </c>
      <c r="T15" s="13">
        <f>15+3</f>
        <v>18</v>
      </c>
      <c r="Z15" s="95"/>
      <c r="AA15" s="96">
        <f>SUM(S15:Y15)</f>
        <v>18</v>
      </c>
      <c r="AB15" s="97">
        <f>IF(C15=2010, AA15/3,AA15)+Z15</f>
        <v>18</v>
      </c>
    </row>
    <row r="16" spans="1:28" s="17" customFormat="1" x14ac:dyDescent="0.25">
      <c r="A16" s="199" t="s">
        <v>15</v>
      </c>
      <c r="B16" s="200"/>
      <c r="C16" s="201"/>
      <c r="D16" s="181"/>
      <c r="E16" s="108"/>
      <c r="F16" s="108"/>
      <c r="G16" s="108"/>
      <c r="H16" s="108"/>
      <c r="I16" s="146"/>
      <c r="J16" s="108"/>
      <c r="K16" s="108"/>
      <c r="L16" s="108"/>
      <c r="M16" s="108"/>
      <c r="N16" s="108"/>
      <c r="O16" s="108"/>
      <c r="P16" s="68"/>
      <c r="Q16" s="68"/>
      <c r="R16" s="91"/>
      <c r="S16" s="34"/>
      <c r="T16" s="37"/>
      <c r="U16" s="57"/>
      <c r="V16" s="69"/>
      <c r="W16" s="91"/>
      <c r="X16" s="88"/>
      <c r="Y16" s="34"/>
      <c r="Z16" s="95"/>
      <c r="AA16" s="96">
        <f t="shared" ref="AA16:AA18" si="3">SUM(S16:Y16)</f>
        <v>0</v>
      </c>
      <c r="AB16" s="97">
        <f>IF(C16=2006, AA16/3,AA16)+Z16</f>
        <v>0</v>
      </c>
    </row>
    <row r="17" spans="1:28" x14ac:dyDescent="0.25">
      <c r="A17" s="60" t="s">
        <v>224</v>
      </c>
      <c r="B17" s="65" t="s">
        <v>88</v>
      </c>
      <c r="C17" s="62">
        <v>2005</v>
      </c>
      <c r="D17" s="2">
        <f t="shared" si="0"/>
        <v>3</v>
      </c>
      <c r="E17" s="108"/>
      <c r="F17" s="108"/>
      <c r="G17" s="108"/>
      <c r="H17" s="122"/>
      <c r="I17" s="146"/>
      <c r="J17" s="108"/>
      <c r="K17" s="108"/>
      <c r="L17" s="108"/>
      <c r="M17" s="108"/>
      <c r="N17" s="108">
        <f t="shared" ref="N17:N18" si="4">AB17</f>
        <v>3</v>
      </c>
      <c r="O17" s="122"/>
      <c r="P17" s="96">
        <f t="shared" si="2"/>
        <v>3</v>
      </c>
      <c r="Q17" s="97">
        <f>IF(C17=2007, P17/3,P17)+O17</f>
        <v>3</v>
      </c>
      <c r="R17" s="91"/>
      <c r="S17" s="34"/>
      <c r="T17" s="80">
        <v>3</v>
      </c>
      <c r="U17" s="80"/>
      <c r="V17" s="80"/>
      <c r="W17" s="80"/>
      <c r="X17" s="80"/>
      <c r="Y17" s="80"/>
      <c r="Z17" s="95"/>
      <c r="AA17" s="96">
        <f t="shared" si="3"/>
        <v>3</v>
      </c>
      <c r="AB17" s="97">
        <f>IF(C17=2006, AA17/3,AA17)+Z17</f>
        <v>3</v>
      </c>
    </row>
    <row r="18" spans="1:28" x14ac:dyDescent="0.25">
      <c r="A18" s="60" t="s">
        <v>225</v>
      </c>
      <c r="B18" s="65" t="s">
        <v>88</v>
      </c>
      <c r="C18" s="62">
        <v>2004</v>
      </c>
      <c r="D18" s="2">
        <f t="shared" si="0"/>
        <v>0</v>
      </c>
      <c r="E18" s="108"/>
      <c r="F18" s="108"/>
      <c r="G18" s="108"/>
      <c r="H18" s="122"/>
      <c r="I18" s="146"/>
      <c r="J18" s="108"/>
      <c r="K18" s="108"/>
      <c r="L18" s="108"/>
      <c r="M18" s="108"/>
      <c r="N18" s="108">
        <f t="shared" si="4"/>
        <v>0</v>
      </c>
      <c r="O18" s="122"/>
      <c r="P18" s="96">
        <f t="shared" si="2"/>
        <v>0</v>
      </c>
      <c r="Q18" s="97">
        <f>IF(C18=2007, P18/3,P18)+O18</f>
        <v>0</v>
      </c>
      <c r="R18" s="91"/>
      <c r="T18" s="80">
        <v>0</v>
      </c>
      <c r="U18" s="80"/>
      <c r="V18" s="80"/>
      <c r="W18" s="80"/>
      <c r="X18" s="80"/>
      <c r="Y18" s="80"/>
      <c r="Z18" s="95"/>
      <c r="AA18" s="96">
        <f t="shared" si="3"/>
        <v>0</v>
      </c>
      <c r="AB18" s="97">
        <f>IF(C18=2006, AA18/3,AA18)+Z18</f>
        <v>0</v>
      </c>
    </row>
    <row r="19" spans="1:28" x14ac:dyDescent="0.25">
      <c r="E19" s="175"/>
      <c r="F19" s="166"/>
      <c r="G19" s="146"/>
      <c r="H19" s="151"/>
      <c r="J19" s="139"/>
      <c r="K19" s="133"/>
      <c r="L19" s="114"/>
      <c r="M19" s="112"/>
      <c r="N19" s="91"/>
      <c r="O19" s="112"/>
    </row>
  </sheetData>
  <sortState xmlns:xlrd2="http://schemas.microsoft.com/office/spreadsheetml/2017/richdata2" ref="A18:EF65">
    <sortCondition ref="A65"/>
  </sortState>
  <mergeCells count="5">
    <mergeCell ref="A5:C5"/>
    <mergeCell ref="A1:C2"/>
    <mergeCell ref="A8:C8"/>
    <mergeCell ref="A16:C16"/>
    <mergeCell ref="S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Mini kids</vt:lpstr>
      <vt:lpstr>Children female</vt:lpstr>
      <vt:lpstr>Children male</vt:lpstr>
      <vt:lpstr>Juniors female</vt:lpstr>
      <vt:lpstr>Juniors male</vt:lpstr>
      <vt:lpstr>Adults female</vt:lpstr>
      <vt:lpstr>Adults 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</dc:creator>
  <cp:lastModifiedBy>owner</cp:lastModifiedBy>
  <dcterms:created xsi:type="dcterms:W3CDTF">2017-05-10T12:17:38Z</dcterms:created>
  <dcterms:modified xsi:type="dcterms:W3CDTF">2024-04-24T19:08:59Z</dcterms:modified>
</cp:coreProperties>
</file>